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dfms-my.sharepoint.com/personal/nkbarnes_dfms_org/Documents/Documents/Budget 2022-2024/2022/"/>
    </mc:Choice>
  </mc:AlternateContent>
  <xr:revisionPtr revIDLastSave="9" documentId="8_{D29DBC53-585C-4BC1-9A79-08DE2369CCD1}" xr6:coauthVersionLast="45" xr6:coauthVersionMax="45" xr10:uidLastSave="{DB655A00-8E17-4F54-8F4B-6CF90E4417B6}"/>
  <bookViews>
    <workbookView xWindow="-98" yWindow="-98" windowWidth="20715" windowHeight="13276" xr2:uid="{E860047D-8A28-4FC7-B711-A401CEEAF173}"/>
  </bookViews>
  <sheets>
    <sheet name="SUMMARY" sheetId="1" r:id="rId1"/>
    <sheet name="EVANGELISM" sheetId="2" r:id="rId2"/>
    <sheet name="REC &amp; JUST" sheetId="3" r:id="rId3"/>
    <sheet name="CREATION CARE" sheetId="4" r:id="rId4"/>
    <sheet name="PB Ministry" sheetId="5" r:id="rId5"/>
    <sheet name="MISSION WITHIN" sheetId="6" r:id="rId6"/>
    <sheet name="MISSION BEYOND" sheetId="7" r:id="rId7"/>
    <sheet name="Governance" sheetId="8" r:id="rId8"/>
    <sheet name="Fin Legal Oper" sheetId="9" r:id="rId9"/>
    <sheet name="Salary Summary 21 for 2022-2024"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3" hidden="1">'CREATION CARE'!$A$5:$Q$25</definedName>
    <definedName name="_xlnm._FilterDatabase" localSheetId="1" hidden="1">EVANGELISM!$B$5:$Q$42</definedName>
    <definedName name="_xlnm._FilterDatabase" localSheetId="8" hidden="1">'Fin Legal Oper'!$A$5:$Q$149</definedName>
    <definedName name="_xlnm._FilterDatabase" localSheetId="7" hidden="1">Governance!$B$5:$Q$62</definedName>
    <definedName name="_xlnm._FilterDatabase" localSheetId="6" hidden="1">'MISSION BEYOND'!$A$5:$Q$113</definedName>
    <definedName name="_xlnm._FilterDatabase" localSheetId="5" hidden="1">'MISSION WITHIN'!$A$5:$Q$209</definedName>
    <definedName name="_xlnm._FilterDatabase" localSheetId="4" hidden="1">'PB Ministry'!$B$5:$Q$60</definedName>
    <definedName name="_xlnm._FilterDatabase" localSheetId="2" hidden="1">'REC &amp; JUST'!$A$5:$Q$122</definedName>
    <definedName name="_xlnm._FilterDatabase" localSheetId="0" hidden="1">SUMMARY!$A$5:$E$44</definedName>
    <definedName name="Address">[1]Address!$A$2:$M$112</definedName>
    <definedName name="CREATIONCARE">'CREATION CARE'!$A$3</definedName>
    <definedName name="DFMSTB" localSheetId="4">#REF!</definedName>
    <definedName name="DFMSTB" localSheetId="9">#REF!</definedName>
    <definedName name="DFMSTB">#REF!</definedName>
    <definedName name="Dio">'[1]Account Number'!$A$2:$D$156</definedName>
    <definedName name="ERDTB" localSheetId="4">#REF!</definedName>
    <definedName name="ERDTB" localSheetId="9">#REF!</definedName>
    <definedName name="ERDTB">#REF!</definedName>
    <definedName name="EvangelismDetail">EVANGELISM!$A$3</definedName>
    <definedName name="EvangelismTotal">EVANGELISM!$B$41</definedName>
    <definedName name="EvngelismTotal">EVANGELISM!$A$41</definedName>
    <definedName name="FLO">'Fin Legal Oper'!#REF!</definedName>
    <definedName name="GOVERNANCE">Governance!#REF!</definedName>
    <definedName name="Main" localSheetId="4">#REF!</definedName>
    <definedName name="Main" localSheetId="9">#REF!</definedName>
    <definedName name="Main">#REF!</definedName>
    <definedName name="MISSIONBEYOND">'MISSION BEYOND'!$A$3</definedName>
    <definedName name="MISSIONWITHIN">'MISSION WITHIN'!$A$3</definedName>
    <definedName name="New">'[2]2011 Kurts file'!$E$7:$K$118</definedName>
    <definedName name="PBOFFICE">'PB Ministry'!$A$3</definedName>
    <definedName name="_xlnm.Print_Area" localSheetId="3">'CREATION CARE'!$A$1:$Y$22</definedName>
    <definedName name="_xlnm.Print_Area" localSheetId="1">EVANGELISM!$A$1:$Y$41</definedName>
    <definedName name="_xlnm.Print_Area" localSheetId="8">'Fin Legal Oper'!$A$1:$Y$149</definedName>
    <definedName name="_xlnm.Print_Area" localSheetId="7">Governance!$A$1:$Y$62</definedName>
    <definedName name="_xlnm.Print_Area" localSheetId="6">'MISSION BEYOND'!$A$1:$Y$113</definedName>
    <definedName name="_xlnm.Print_Area" localSheetId="5">'MISSION WITHIN'!$A$1:$Y$209</definedName>
    <definedName name="_xlnm.Print_Area" localSheetId="4">'PB Ministry'!$A$1:$Y$58</definedName>
    <definedName name="_xlnm.Print_Area" localSheetId="2">'REC &amp; JUST'!$A$1:$Y$122</definedName>
    <definedName name="_xlnm.Print_Area" localSheetId="9">'Salary Summary 21 for 2022-2024'!$B$1:$U$44</definedName>
    <definedName name="_xlnm.Print_Area" localSheetId="0">SUMMARY!$A$1:$Y$65</definedName>
    <definedName name="_xlnm.Print_Titles" localSheetId="3">'CREATION CARE'!$A:$B,'CREATION CARE'!$1:$4</definedName>
    <definedName name="_xlnm.Print_Titles" localSheetId="1">EVANGELISM!$A:$B,EVANGELISM!$1:$6</definedName>
    <definedName name="_xlnm.Print_Titles" localSheetId="8">'Fin Legal Oper'!$A:$B,'Fin Legal Oper'!$1:$5</definedName>
    <definedName name="_xlnm.Print_Titles" localSheetId="7">Governance!$A:$B,Governance!$1:$5</definedName>
    <definedName name="_xlnm.Print_Titles" localSheetId="6">'MISSION BEYOND'!$A:$B,'MISSION BEYOND'!$1:$5</definedName>
    <definedName name="_xlnm.Print_Titles" localSheetId="5">'MISSION WITHIN'!$A:$B,'MISSION WITHIN'!$1:$5</definedName>
    <definedName name="_xlnm.Print_Titles" localSheetId="4">'PB Ministry'!$A:$B,'PB Ministry'!$1:$5</definedName>
    <definedName name="_xlnm.Print_Titles" localSheetId="2">'REC &amp; JUST'!$A:$B,'REC &amp; JUST'!$1:$5</definedName>
    <definedName name="_xlnm.Print_Titles" localSheetId="0">SUMMARY!$A:$B,SUMMARY!$1:$5</definedName>
    <definedName name="Reconciliation">'REC &amp; JUST'!$A$3</definedName>
    <definedName name="Z_303CD941_10D4_409C_945D_ACE2C1BF68BA_.wvu.Cols" localSheetId="9" hidden="1">'Salary Summary 21 for 2022-2024'!$A:$A,'Salary Summary 21 for 2022-2024'!#REF!</definedName>
    <definedName name="Z_303CD941_10D4_409C_945D_ACE2C1BF68BA_.wvu.PrintArea" localSheetId="9" hidden="1">'Salary Summary 21 for 2022-2024'!$A$5:$X$64</definedName>
    <definedName name="Z_303CD941_10D4_409C_945D_ACE2C1BF68BA_.wvu.Rows" localSheetId="9" hidden="1">'Salary Summary 21 for 2022-2024'!#REF!</definedName>
    <definedName name="Z_3B6C9327_47B6_484D_A74D_FD50E7BE7744_.wvu.Cols" localSheetId="3" hidden="1">'CREATION CARE'!#REF!,'CREATION CARE'!$E:$H</definedName>
    <definedName name="Z_3B6C9327_47B6_484D_A74D_FD50E7BE7744_.wvu.Cols" localSheetId="1" hidden="1">EVANGELISM!#REF!,EVANGELISM!$E:$H</definedName>
    <definedName name="Z_3B6C9327_47B6_484D_A74D_FD50E7BE7744_.wvu.Cols" localSheetId="8" hidden="1">'Fin Legal Oper'!#REF!,'Fin Legal Oper'!$E:$H</definedName>
    <definedName name="Z_3B6C9327_47B6_484D_A74D_FD50E7BE7744_.wvu.Cols" localSheetId="7" hidden="1">Governance!$E:$H</definedName>
    <definedName name="Z_3B6C9327_47B6_484D_A74D_FD50E7BE7744_.wvu.Cols" localSheetId="6" hidden="1">'MISSION BEYOND'!#REF!</definedName>
    <definedName name="Z_3B6C9327_47B6_484D_A74D_FD50E7BE7744_.wvu.Cols" localSheetId="5" hidden="1">'MISSION WITHIN'!#REF!,'MISSION WITHIN'!$E:$H</definedName>
    <definedName name="Z_3B6C9327_47B6_484D_A74D_FD50E7BE7744_.wvu.Cols" localSheetId="4" hidden="1">'PB Ministry'!#REF!,'PB Ministry'!$E:$H</definedName>
    <definedName name="Z_3B6C9327_47B6_484D_A74D_FD50E7BE7744_.wvu.Cols" localSheetId="2" hidden="1">'REC &amp; JUST'!#REF!,'REC &amp; JUST'!#REF!</definedName>
    <definedName name="Z_3B6C9327_47B6_484D_A74D_FD50E7BE7744_.wvu.Cols" localSheetId="9" hidden="1">'Salary Summary 21 for 2022-2024'!$A:$A,'Salary Summary 21 for 2022-2024'!#REF!,'Salary Summary 21 for 2022-2024'!$X:$X</definedName>
    <definedName name="Z_3B6C9327_47B6_484D_A74D_FD50E7BE7744_.wvu.Cols" localSheetId="0" hidden="1">SUMMARY!#REF!,SUMMARY!#REF!</definedName>
    <definedName name="Z_3B6C9327_47B6_484D_A74D_FD50E7BE7744_.wvu.FilterData" localSheetId="3" hidden="1">'CREATION CARE'!$B$1:$Q$28</definedName>
    <definedName name="Z_3B6C9327_47B6_484D_A74D_FD50E7BE7744_.wvu.FilterData" localSheetId="1" hidden="1">EVANGELISM!$B$5:$Q$41</definedName>
    <definedName name="Z_3B6C9327_47B6_484D_A74D_FD50E7BE7744_.wvu.FilterData" localSheetId="7" hidden="1">Governance!$B$5:$Q$62</definedName>
    <definedName name="Z_3B6C9327_47B6_484D_A74D_FD50E7BE7744_.wvu.FilterData" localSheetId="5" hidden="1">'MISSION WITHIN'!$A$5:$Q$204</definedName>
    <definedName name="Z_3B6C9327_47B6_484D_A74D_FD50E7BE7744_.wvu.FilterData" localSheetId="4" hidden="1">'PB Ministry'!$B$5:$Q$59</definedName>
    <definedName name="Z_3B6C9327_47B6_484D_A74D_FD50E7BE7744_.wvu.FilterData" localSheetId="2" hidden="1">'REC &amp; JUST'!$B$1:$Q$46</definedName>
    <definedName name="Z_3B6C9327_47B6_484D_A74D_FD50E7BE7744_.wvu.PrintArea" localSheetId="3" hidden="1">'CREATION CARE'!$A$1:$Q$20</definedName>
    <definedName name="Z_3B6C9327_47B6_484D_A74D_FD50E7BE7744_.wvu.PrintArea" localSheetId="1" hidden="1">EVANGELISM!$A$1:$Q$41</definedName>
    <definedName name="Z_3B6C9327_47B6_484D_A74D_FD50E7BE7744_.wvu.PrintArea" localSheetId="8" hidden="1">'Fin Legal Oper'!$A$1:$Q$149</definedName>
    <definedName name="Z_3B6C9327_47B6_484D_A74D_FD50E7BE7744_.wvu.PrintArea" localSheetId="7" hidden="1">Governance!$A$1:$Q$62</definedName>
    <definedName name="Z_3B6C9327_47B6_484D_A74D_FD50E7BE7744_.wvu.PrintArea" localSheetId="6" hidden="1">'MISSION BEYOND'!$A$1:$Q$113</definedName>
    <definedName name="Z_3B6C9327_47B6_484D_A74D_FD50E7BE7744_.wvu.PrintArea" localSheetId="5" hidden="1">'MISSION WITHIN'!$A$1:$Q$215</definedName>
    <definedName name="Z_3B6C9327_47B6_484D_A74D_FD50E7BE7744_.wvu.PrintArea" localSheetId="4" hidden="1">'PB Ministry'!$A$1:$Q$58</definedName>
    <definedName name="Z_3B6C9327_47B6_484D_A74D_FD50E7BE7744_.wvu.PrintArea" localSheetId="2" hidden="1">'REC &amp; JUST'!$A$1:$Q$127</definedName>
    <definedName name="Z_3B6C9327_47B6_484D_A74D_FD50E7BE7744_.wvu.PrintArea" localSheetId="9" hidden="1">'Salary Summary 21 for 2022-2024'!$A$5:$X$42</definedName>
    <definedName name="Z_3B6C9327_47B6_484D_A74D_FD50E7BE7744_.wvu.PrintArea" localSheetId="0" hidden="1">SUMMARY!$A$1:$Q$66</definedName>
    <definedName name="Z_3B6C9327_47B6_484D_A74D_FD50E7BE7744_.wvu.PrintTitles" localSheetId="1" hidden="1">EVANGELISM!$1:$6</definedName>
    <definedName name="Z_3B6C9327_47B6_484D_A74D_FD50E7BE7744_.wvu.PrintTitles" localSheetId="8" hidden="1">'Fin Legal Oper'!$3:$5</definedName>
    <definedName name="Z_3B6C9327_47B6_484D_A74D_FD50E7BE7744_.wvu.PrintTitles" localSheetId="7" hidden="1">Governance!$3:$5</definedName>
    <definedName name="Z_3B6C9327_47B6_484D_A74D_FD50E7BE7744_.wvu.PrintTitles" localSheetId="6" hidden="1">'MISSION BEYOND'!$1:$5</definedName>
    <definedName name="Z_3B6C9327_47B6_484D_A74D_FD50E7BE7744_.wvu.PrintTitles" localSheetId="5" hidden="1">'MISSION WITHIN'!$1:$5</definedName>
    <definedName name="Z_3B6C9327_47B6_484D_A74D_FD50E7BE7744_.wvu.PrintTitles" localSheetId="4" hidden="1">'PB Ministry'!$1:$5</definedName>
    <definedName name="Z_3B6C9327_47B6_484D_A74D_FD50E7BE7744_.wvu.PrintTitles" localSheetId="2" hidden="1">'REC &amp; JUST'!$1:$5</definedName>
    <definedName name="Z_3B6C9327_47B6_484D_A74D_FD50E7BE7744_.wvu.PrintTitles" localSheetId="0" hidden="1">SUMMARY!$47:$47</definedName>
    <definedName name="Z_3B6C9327_47B6_484D_A74D_FD50E7BE7744_.wvu.Rows" localSheetId="8" hidden="1">'Fin Legal Oper'!$1:$1</definedName>
    <definedName name="Z_3B6C9327_47B6_484D_A74D_FD50E7BE7744_.wvu.Rows" localSheetId="7" hidden="1">Governance!$7:$11,Governance!$13:$17,Governance!$18:$61,Governance!$62:$62</definedName>
    <definedName name="Z_3B6C9327_47B6_484D_A74D_FD50E7BE7744_.wvu.Rows" localSheetId="9" hidden="1">'Salary Summary 21 for 2022-2024'!#REF!</definedName>
    <definedName name="Z_3B6C9327_47B6_484D_A74D_FD50E7BE7744_.wvu.Rows" localSheetId="0" hidden="1">SUMMARY!#REF!</definedName>
    <definedName name="Z_65B9FA53_5F1E_4DCA_87AC_0F3893C04BBD_.wvu.Cols" localSheetId="3" hidden="1">'CREATION CARE'!#REF!,'CREATION CARE'!#REF!</definedName>
    <definedName name="Z_65B9FA53_5F1E_4DCA_87AC_0F3893C04BBD_.wvu.Cols" localSheetId="1" hidden="1">EVANGELISM!#REF!,EVANGELISM!$E:$H,EVANGELISM!#REF!</definedName>
    <definedName name="Z_65B9FA53_5F1E_4DCA_87AC_0F3893C04BBD_.wvu.Cols" localSheetId="8" hidden="1">'Fin Legal Oper'!#REF!,'Fin Legal Oper'!#REF!</definedName>
    <definedName name="Z_65B9FA53_5F1E_4DCA_87AC_0F3893C04BBD_.wvu.Cols" localSheetId="7" hidden="1">Governance!#REF!,Governance!#REF!</definedName>
    <definedName name="Z_65B9FA53_5F1E_4DCA_87AC_0F3893C04BBD_.wvu.Cols" localSheetId="6" hidden="1">'MISSION BEYOND'!#REF!,'MISSION BEYOND'!#REF!</definedName>
    <definedName name="Z_65B9FA53_5F1E_4DCA_87AC_0F3893C04BBD_.wvu.Cols" localSheetId="5" hidden="1">'MISSION WITHIN'!#REF!,'MISSION WITHIN'!#REF!</definedName>
    <definedName name="Z_65B9FA53_5F1E_4DCA_87AC_0F3893C04BBD_.wvu.Cols" localSheetId="4" hidden="1">'PB Ministry'!#REF!,'PB Ministry'!#REF!</definedName>
    <definedName name="Z_65B9FA53_5F1E_4DCA_87AC_0F3893C04BBD_.wvu.Cols" localSheetId="2" hidden="1">'REC &amp; JUST'!#REF!,'REC &amp; JUST'!#REF!</definedName>
    <definedName name="Z_65B9FA53_5F1E_4DCA_87AC_0F3893C04BBD_.wvu.Cols" localSheetId="9" hidden="1">'Salary Summary 21 for 2022-2024'!$A:$A,'Salary Summary 21 for 2022-2024'!#REF!,'Salary Summary 21 for 2022-2024'!$X:$X</definedName>
    <definedName name="Z_65B9FA53_5F1E_4DCA_87AC_0F3893C04BBD_.wvu.Cols" localSheetId="0" hidden="1">SUMMARY!#REF!,SUMMARY!$E:$K</definedName>
    <definedName name="Z_65B9FA53_5F1E_4DCA_87AC_0F3893C04BBD_.wvu.FilterData" localSheetId="3" hidden="1">'CREATION CARE'!$B$1:$Q$28</definedName>
    <definedName name="Z_65B9FA53_5F1E_4DCA_87AC_0F3893C04BBD_.wvu.FilterData" localSheetId="1" hidden="1">EVANGELISM!$B$5:$Q$41</definedName>
    <definedName name="Z_65B9FA53_5F1E_4DCA_87AC_0F3893C04BBD_.wvu.FilterData" localSheetId="7" hidden="1">Governance!$B$5:$Q$62</definedName>
    <definedName name="Z_65B9FA53_5F1E_4DCA_87AC_0F3893C04BBD_.wvu.FilterData" localSheetId="5" hidden="1">'MISSION WITHIN'!$A$5:$Q$204</definedName>
    <definedName name="Z_65B9FA53_5F1E_4DCA_87AC_0F3893C04BBD_.wvu.FilterData" localSheetId="4" hidden="1">'PB Ministry'!$B$5:$Q$59</definedName>
    <definedName name="Z_65B9FA53_5F1E_4DCA_87AC_0F3893C04BBD_.wvu.FilterData" localSheetId="2" hidden="1">'REC &amp; JUST'!$B$1:$Q$46</definedName>
    <definedName name="Z_65B9FA53_5F1E_4DCA_87AC_0F3893C04BBD_.wvu.PrintArea" localSheetId="3" hidden="1">'CREATION CARE'!$A$1:$Q$22</definedName>
    <definedName name="Z_65B9FA53_5F1E_4DCA_87AC_0F3893C04BBD_.wvu.PrintArea" localSheetId="1" hidden="1">EVANGELISM!$A$1:$Q$41</definedName>
    <definedName name="Z_65B9FA53_5F1E_4DCA_87AC_0F3893C04BBD_.wvu.PrintArea" localSheetId="8" hidden="1">'Fin Legal Oper'!$A$1:$Q$149</definedName>
    <definedName name="Z_65B9FA53_5F1E_4DCA_87AC_0F3893C04BBD_.wvu.PrintArea" localSheetId="7" hidden="1">Governance!$A$1:$Q$62</definedName>
    <definedName name="Z_65B9FA53_5F1E_4DCA_87AC_0F3893C04BBD_.wvu.PrintArea" localSheetId="6" hidden="1">'MISSION BEYOND'!$A$1:$Q$113</definedName>
    <definedName name="Z_65B9FA53_5F1E_4DCA_87AC_0F3893C04BBD_.wvu.PrintArea" localSheetId="5" hidden="1">'MISSION WITHIN'!$A$1:$Q$215</definedName>
    <definedName name="Z_65B9FA53_5F1E_4DCA_87AC_0F3893C04BBD_.wvu.PrintArea" localSheetId="4" hidden="1">'PB Ministry'!$A$1:$Q$58</definedName>
    <definedName name="Z_65B9FA53_5F1E_4DCA_87AC_0F3893C04BBD_.wvu.PrintArea" localSheetId="2" hidden="1">'REC &amp; JUST'!$A$1:$Q$123</definedName>
    <definedName name="Z_65B9FA53_5F1E_4DCA_87AC_0F3893C04BBD_.wvu.PrintArea" localSheetId="9" hidden="1">'Salary Summary 21 for 2022-2024'!$A$1:$X$42</definedName>
    <definedName name="Z_65B9FA53_5F1E_4DCA_87AC_0F3893C04BBD_.wvu.PrintArea" localSheetId="0" hidden="1">SUMMARY!$A$1:$Q$66</definedName>
    <definedName name="Z_65B9FA53_5F1E_4DCA_87AC_0F3893C04BBD_.wvu.PrintTitles" localSheetId="1" hidden="1">EVANGELISM!$1:$6</definedName>
    <definedName name="Z_65B9FA53_5F1E_4DCA_87AC_0F3893C04BBD_.wvu.PrintTitles" localSheetId="8" hidden="1">'Fin Legal Oper'!$1:$5</definedName>
    <definedName name="Z_65B9FA53_5F1E_4DCA_87AC_0F3893C04BBD_.wvu.PrintTitles" localSheetId="7" hidden="1">Governance!$1:$5</definedName>
    <definedName name="Z_65B9FA53_5F1E_4DCA_87AC_0F3893C04BBD_.wvu.PrintTitles" localSheetId="6" hidden="1">'MISSION BEYOND'!$1:$5</definedName>
    <definedName name="Z_65B9FA53_5F1E_4DCA_87AC_0F3893C04BBD_.wvu.PrintTitles" localSheetId="5" hidden="1">'MISSION WITHIN'!$1:$5</definedName>
    <definedName name="Z_65B9FA53_5F1E_4DCA_87AC_0F3893C04BBD_.wvu.PrintTitles" localSheetId="4" hidden="1">'PB Ministry'!$1:$5</definedName>
    <definedName name="Z_65B9FA53_5F1E_4DCA_87AC_0F3893C04BBD_.wvu.PrintTitles" localSheetId="2" hidden="1">'REC &amp; JUST'!$1:$5</definedName>
    <definedName name="Z_65B9FA53_5F1E_4DCA_87AC_0F3893C04BBD_.wvu.PrintTitles" localSheetId="0" hidden="1">SUMMARY!$1:$5</definedName>
    <definedName name="Z_65B9FA53_5F1E_4DCA_87AC_0F3893C04BBD_.wvu.Rows" localSheetId="1" hidden="1">EVANGELISM!$16:$21</definedName>
    <definedName name="Z_65B9FA53_5F1E_4DCA_87AC_0F3893C04BBD_.wvu.Rows" localSheetId="7" hidden="1">Governance!$11:$11,Governance!$13:$13,Governance!$17:$17</definedName>
    <definedName name="Z_65B9FA53_5F1E_4DCA_87AC_0F3893C04BBD_.wvu.Rows" localSheetId="2" hidden="1">'REC &amp; JUST'!$40:$44</definedName>
    <definedName name="Z_65B9FA53_5F1E_4DCA_87AC_0F3893C04BBD_.wvu.Rows" localSheetId="9" hidden="1">'Salary Summary 21 for 2022-2024'!$20:$20</definedName>
    <definedName name="Z_8BC9E3EE_EA46_4A24_9071_B0A70E4CA3D1_.wvu.Cols" localSheetId="9" hidden="1">'Salary Summary 21 for 2022-2024'!#REF!</definedName>
    <definedName name="Z_A3B4445E_41EB_4DBE_8F37_8BD4C1895D48_.wvu.Cols" localSheetId="3" hidden="1">'CREATION CARE'!$A:$A,'CREATION CARE'!#REF!,'CREATION CARE'!#REF!,'CREATION CARE'!#REF!,'CREATION CARE'!#REF!,'CREATION CARE'!#REF!,'CREATION CARE'!#REF!</definedName>
    <definedName name="Z_A3B4445E_41EB_4DBE_8F37_8BD4C1895D48_.wvu.Cols" localSheetId="1" hidden="1">EVANGELISM!#REF!,EVANGELISM!#REF!,EVANGELISM!#REF!,EVANGELISM!#REF!,EVANGELISM!#REF!,EVANGELISM!#REF!</definedName>
    <definedName name="Z_A3B4445E_41EB_4DBE_8F37_8BD4C1895D48_.wvu.Cols" localSheetId="8" hidden="1">'Fin Legal Oper'!#REF!</definedName>
    <definedName name="Z_A3B4445E_41EB_4DBE_8F37_8BD4C1895D48_.wvu.Cols" localSheetId="6" hidden="1">'MISSION BEYOND'!$A:$A,'MISSION BEYOND'!#REF!</definedName>
    <definedName name="Z_A3B4445E_41EB_4DBE_8F37_8BD4C1895D48_.wvu.Cols" localSheetId="5" hidden="1">'MISSION WITHIN'!#REF!,'MISSION WITHIN'!#REF!,'MISSION WITHIN'!#REF!,'MISSION WITHIN'!#REF!,'MISSION WITHIN'!#REF!,'MISSION WITHIN'!#REF!</definedName>
    <definedName name="Z_A3B4445E_41EB_4DBE_8F37_8BD4C1895D48_.wvu.Cols" localSheetId="4" hidden="1">'PB Ministry'!$A:$A,'PB Ministry'!#REF!,'PB Ministry'!#REF!,'PB Ministry'!#REF!,'PB Ministry'!#REF!,'PB Ministry'!#REF!,'PB Ministry'!#REF!</definedName>
    <definedName name="Z_A3B4445E_41EB_4DBE_8F37_8BD4C1895D48_.wvu.Cols" localSheetId="2" hidden="1">'REC &amp; JUST'!$A:$A,'REC &amp; JUST'!#REF!</definedName>
    <definedName name="Z_A3B4445E_41EB_4DBE_8F37_8BD4C1895D48_.wvu.Cols" localSheetId="9" hidden="1">'Salary Summary 21 for 2022-2024'!$A:$A,'Salary Summary 21 for 2022-2024'!#REF!,'Salary Summary 21 for 2022-2024'!$X:$X</definedName>
    <definedName name="Z_A3B4445E_41EB_4DBE_8F37_8BD4C1895D48_.wvu.Cols" localSheetId="0" hidden="1">SUMMARY!$A:$A,SUMMARY!#REF!,SUMMARY!$D:$Q</definedName>
    <definedName name="Z_A3B4445E_41EB_4DBE_8F37_8BD4C1895D48_.wvu.FilterData" localSheetId="3" hidden="1">'CREATION CARE'!$B$1:$Q$28</definedName>
    <definedName name="Z_A3B4445E_41EB_4DBE_8F37_8BD4C1895D48_.wvu.FilterData" localSheetId="1" hidden="1">EVANGELISM!$B$5:$Q$41</definedName>
    <definedName name="Z_A3B4445E_41EB_4DBE_8F37_8BD4C1895D48_.wvu.FilterData" localSheetId="7" hidden="1">Governance!$B$5:$Q$62</definedName>
    <definedName name="Z_A3B4445E_41EB_4DBE_8F37_8BD4C1895D48_.wvu.FilterData" localSheetId="5" hidden="1">'MISSION WITHIN'!$A$5:$Q$204</definedName>
    <definedName name="Z_A3B4445E_41EB_4DBE_8F37_8BD4C1895D48_.wvu.FilterData" localSheetId="4" hidden="1">'PB Ministry'!$B$5:$Q$59</definedName>
    <definedName name="Z_A3B4445E_41EB_4DBE_8F37_8BD4C1895D48_.wvu.FilterData" localSheetId="2" hidden="1">'REC &amp; JUST'!$B$1:$Q$46</definedName>
    <definedName name="Z_A3B4445E_41EB_4DBE_8F37_8BD4C1895D48_.wvu.PrintArea" localSheetId="3" hidden="1">'CREATION CARE'!$B$1:$Q$20</definedName>
    <definedName name="Z_A3B4445E_41EB_4DBE_8F37_8BD4C1895D48_.wvu.PrintArea" localSheetId="1" hidden="1">EVANGELISM!$B$1:$Q$41</definedName>
    <definedName name="Z_A3B4445E_41EB_4DBE_8F37_8BD4C1895D48_.wvu.PrintArea" localSheetId="8" hidden="1">'Fin Legal Oper'!$A$1:$Q$149</definedName>
    <definedName name="Z_A3B4445E_41EB_4DBE_8F37_8BD4C1895D48_.wvu.PrintArea" localSheetId="7" hidden="1">Governance!$A$1:$Q$62</definedName>
    <definedName name="Z_A3B4445E_41EB_4DBE_8F37_8BD4C1895D48_.wvu.PrintArea" localSheetId="6" hidden="1">'MISSION BEYOND'!$A$1:$Q$102</definedName>
    <definedName name="Z_A3B4445E_41EB_4DBE_8F37_8BD4C1895D48_.wvu.PrintArea" localSheetId="5" hidden="1">'MISSION WITHIN'!$A$1:$Q$215</definedName>
    <definedName name="Z_A3B4445E_41EB_4DBE_8F37_8BD4C1895D48_.wvu.PrintArea" localSheetId="4" hidden="1">'PB Ministry'!$A$1:$Q$57</definedName>
    <definedName name="Z_A3B4445E_41EB_4DBE_8F37_8BD4C1895D48_.wvu.PrintArea" localSheetId="2" hidden="1">'REC &amp; JUST'!$A$1:$Q$127</definedName>
    <definedName name="Z_A3B4445E_41EB_4DBE_8F37_8BD4C1895D48_.wvu.PrintArea" localSheetId="9" hidden="1">'Salary Summary 21 for 2022-2024'!$A$5:$X$42</definedName>
    <definedName name="Z_A3B4445E_41EB_4DBE_8F37_8BD4C1895D48_.wvu.PrintArea" localSheetId="0" hidden="1">SUMMARY!$B$1:$Q$66</definedName>
    <definedName name="Z_A3B4445E_41EB_4DBE_8F37_8BD4C1895D48_.wvu.PrintTitles" localSheetId="1" hidden="1">EVANGELISM!$1:$6</definedName>
    <definedName name="Z_A3B4445E_41EB_4DBE_8F37_8BD4C1895D48_.wvu.PrintTitles" localSheetId="8" hidden="1">'Fin Legal Oper'!$3:$5</definedName>
    <definedName name="Z_A3B4445E_41EB_4DBE_8F37_8BD4C1895D48_.wvu.PrintTitles" localSheetId="7" hidden="1">Governance!$3:$5</definedName>
    <definedName name="Z_A3B4445E_41EB_4DBE_8F37_8BD4C1895D48_.wvu.PrintTitles" localSheetId="4" hidden="1">'PB Ministry'!$1:$5</definedName>
    <definedName name="Z_A3B4445E_41EB_4DBE_8F37_8BD4C1895D48_.wvu.PrintTitles" localSheetId="0" hidden="1">SUMMARY!$47:$47</definedName>
    <definedName name="Z_A3B4445E_41EB_4DBE_8F37_8BD4C1895D48_.wvu.Rows" localSheetId="8" hidden="1">'Fin Legal Oper'!$1:$1</definedName>
    <definedName name="Z_A3B4445E_41EB_4DBE_8F37_8BD4C1895D48_.wvu.Rows" localSheetId="6" hidden="1">'MISSION BEYOND'!$6:$39,'MISSION BEYOND'!$81:$82</definedName>
    <definedName name="Z_A3B4445E_41EB_4DBE_8F37_8BD4C1895D48_.wvu.Rows" localSheetId="9" hidden="1">'Salary Summary 21 for 2022-2024'!#REF!</definedName>
    <definedName name="Z_A3B4445E_41EB_4DBE_8F37_8BD4C1895D48_.wvu.Rows" localSheetId="0" hidden="1">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9" i="8" l="1"/>
  <c r="O20" i="1"/>
  <c r="X9" i="8" l="1"/>
  <c r="P20" i="1" l="1"/>
  <c r="P193" i="6" l="1"/>
  <c r="I42" i="10" l="1"/>
  <c r="H42" i="10"/>
  <c r="G42" i="10"/>
  <c r="F42" i="10"/>
  <c r="E42" i="10"/>
  <c r="D42" i="10"/>
  <c r="C42" i="10"/>
  <c r="U41" i="10"/>
  <c r="V118" i="3" s="1"/>
  <c r="V120" i="3" s="1"/>
  <c r="S41" i="10"/>
  <c r="R41" i="10"/>
  <c r="Q41" i="10"/>
  <c r="O41" i="10"/>
  <c r="N41" i="10"/>
  <c r="M41" i="10"/>
  <c r="O118" i="3" s="1"/>
  <c r="P118" i="3" s="1"/>
  <c r="R118" i="3" s="1"/>
  <c r="K41" i="10"/>
  <c r="J41" i="10"/>
  <c r="U40" i="10"/>
  <c r="V40" i="10" s="1"/>
  <c r="S40" i="10"/>
  <c r="R40" i="10"/>
  <c r="Q40" i="10"/>
  <c r="O40" i="10"/>
  <c r="N40" i="10"/>
  <c r="M40" i="10"/>
  <c r="K40" i="10"/>
  <c r="J40" i="10"/>
  <c r="U39" i="10"/>
  <c r="S39" i="10"/>
  <c r="R39" i="10"/>
  <c r="Q39" i="10"/>
  <c r="T169" i="6" s="1"/>
  <c r="T170" i="6" s="1"/>
  <c r="O39" i="10"/>
  <c r="N39" i="10"/>
  <c r="M39" i="10"/>
  <c r="W39" i="10" s="1"/>
  <c r="K39" i="10"/>
  <c r="J39" i="10"/>
  <c r="U38" i="10"/>
  <c r="S38" i="10"/>
  <c r="R38" i="10"/>
  <c r="Q38" i="10"/>
  <c r="O38" i="10"/>
  <c r="N38" i="10"/>
  <c r="M38" i="10"/>
  <c r="K38" i="10"/>
  <c r="J38" i="10"/>
  <c r="U37" i="10"/>
  <c r="S37" i="10"/>
  <c r="R37" i="10"/>
  <c r="Q37" i="10"/>
  <c r="O37" i="10"/>
  <c r="N37" i="10"/>
  <c r="M37" i="10"/>
  <c r="K37" i="10"/>
  <c r="J37" i="10"/>
  <c r="U36" i="10"/>
  <c r="S36" i="10"/>
  <c r="R36" i="10"/>
  <c r="Q36" i="10"/>
  <c r="V36" i="10" s="1"/>
  <c r="O36" i="10"/>
  <c r="N36" i="10"/>
  <c r="M36" i="10"/>
  <c r="K36" i="10"/>
  <c r="J36" i="10"/>
  <c r="U35" i="10"/>
  <c r="S35" i="10"/>
  <c r="R35" i="10"/>
  <c r="T35" i="10" s="1"/>
  <c r="Q35" i="10"/>
  <c r="O35" i="10"/>
  <c r="N35" i="10"/>
  <c r="M35" i="10"/>
  <c r="K35" i="10"/>
  <c r="J35" i="10"/>
  <c r="U34" i="10"/>
  <c r="S34" i="10"/>
  <c r="R34" i="10"/>
  <c r="Q34" i="10"/>
  <c r="O34" i="10"/>
  <c r="N34" i="10"/>
  <c r="M34" i="10"/>
  <c r="O19" i="5" s="1"/>
  <c r="K34" i="10"/>
  <c r="J34" i="10"/>
  <c r="U33" i="10"/>
  <c r="V33" i="5" s="1"/>
  <c r="W33" i="5" s="1"/>
  <c r="S33" i="10"/>
  <c r="R33" i="10"/>
  <c r="Q33" i="10"/>
  <c r="O33" i="10"/>
  <c r="N33" i="10"/>
  <c r="M33" i="10"/>
  <c r="K33" i="10"/>
  <c r="J33" i="10"/>
  <c r="U32" i="10"/>
  <c r="S32" i="10"/>
  <c r="R32" i="10"/>
  <c r="Q32" i="10"/>
  <c r="O32" i="10"/>
  <c r="N32" i="10"/>
  <c r="M32" i="10"/>
  <c r="O77" i="7" s="1"/>
  <c r="K32" i="10"/>
  <c r="J32" i="10"/>
  <c r="U31" i="10"/>
  <c r="S31" i="10"/>
  <c r="R31" i="10"/>
  <c r="Q31" i="10"/>
  <c r="T65" i="7" s="1"/>
  <c r="O31" i="10"/>
  <c r="N31" i="10"/>
  <c r="M31" i="10"/>
  <c r="L31" i="10" s="1"/>
  <c r="K31" i="10"/>
  <c r="J31" i="10"/>
  <c r="U30" i="10"/>
  <c r="S30" i="10"/>
  <c r="R30" i="10"/>
  <c r="Q30" i="10"/>
  <c r="O30" i="10"/>
  <c r="N30" i="10"/>
  <c r="M30" i="10"/>
  <c r="K30" i="10"/>
  <c r="J30" i="10"/>
  <c r="U29" i="10"/>
  <c r="S29" i="10"/>
  <c r="R29" i="10"/>
  <c r="Q29" i="10"/>
  <c r="T99" i="9" s="1"/>
  <c r="T100" i="9" s="1"/>
  <c r="O29" i="10"/>
  <c r="N29" i="10"/>
  <c r="M29" i="10"/>
  <c r="K29" i="10"/>
  <c r="J29" i="10"/>
  <c r="U28" i="10"/>
  <c r="S28" i="10"/>
  <c r="R28" i="10"/>
  <c r="Q28" i="10"/>
  <c r="T81" i="9" s="1"/>
  <c r="T82" i="9" s="1"/>
  <c r="O28" i="10"/>
  <c r="N28" i="10"/>
  <c r="M28" i="10"/>
  <c r="K28" i="10"/>
  <c r="J28" i="10"/>
  <c r="U27" i="10"/>
  <c r="S27" i="10"/>
  <c r="R27" i="10"/>
  <c r="Q27" i="10"/>
  <c r="O27" i="10"/>
  <c r="N27" i="10"/>
  <c r="M27" i="10"/>
  <c r="W27" i="10" s="1"/>
  <c r="K27" i="10"/>
  <c r="J27" i="10"/>
  <c r="U26" i="10"/>
  <c r="S26" i="10"/>
  <c r="R26" i="10"/>
  <c r="Q26" i="10"/>
  <c r="O26" i="10"/>
  <c r="N26" i="10"/>
  <c r="M26" i="10"/>
  <c r="K26" i="10"/>
  <c r="J26" i="10"/>
  <c r="U25" i="10"/>
  <c r="V55" i="5" s="1"/>
  <c r="V56" i="5" s="1"/>
  <c r="S25" i="10"/>
  <c r="R25" i="10"/>
  <c r="Q25" i="10"/>
  <c r="O25" i="10"/>
  <c r="N25" i="10"/>
  <c r="M25" i="10"/>
  <c r="O55" i="5" s="1"/>
  <c r="K25" i="10"/>
  <c r="J25" i="10"/>
  <c r="U24" i="10"/>
  <c r="S24" i="10"/>
  <c r="R24" i="10"/>
  <c r="Q24" i="10"/>
  <c r="V24" i="10" s="1"/>
  <c r="O24" i="10"/>
  <c r="N24" i="10"/>
  <c r="M24" i="10"/>
  <c r="K24" i="10"/>
  <c r="J24" i="10"/>
  <c r="U23" i="10"/>
  <c r="S23" i="10"/>
  <c r="R23" i="10"/>
  <c r="Q23" i="10"/>
  <c r="O23" i="10"/>
  <c r="N23" i="10"/>
  <c r="M23" i="10"/>
  <c r="O48" i="5" s="1"/>
  <c r="O49" i="5" s="1"/>
  <c r="K23" i="10"/>
  <c r="J23" i="10"/>
  <c r="U22" i="10"/>
  <c r="S22" i="10"/>
  <c r="R22" i="10"/>
  <c r="Q22" i="10"/>
  <c r="O22" i="10"/>
  <c r="N22" i="10"/>
  <c r="M22" i="10"/>
  <c r="O145" i="9" s="1"/>
  <c r="K22" i="10"/>
  <c r="J22" i="10"/>
  <c r="U21" i="10"/>
  <c r="S21" i="10"/>
  <c r="R21" i="10"/>
  <c r="Q21" i="10"/>
  <c r="O21" i="10"/>
  <c r="N21" i="10"/>
  <c r="M21" i="10"/>
  <c r="O104" i="3" s="1"/>
  <c r="P104" i="3" s="1"/>
  <c r="R104" i="3" s="1"/>
  <c r="K21" i="10"/>
  <c r="J21" i="10"/>
  <c r="U20" i="10"/>
  <c r="S20" i="10"/>
  <c r="R20" i="10"/>
  <c r="Q20" i="10"/>
  <c r="V20" i="10" s="1"/>
  <c r="O20" i="10"/>
  <c r="N20" i="10"/>
  <c r="M20" i="10"/>
  <c r="K20" i="10"/>
  <c r="J20" i="10"/>
  <c r="U19" i="10"/>
  <c r="S19" i="10"/>
  <c r="R19" i="10"/>
  <c r="T19" i="10" s="1"/>
  <c r="Q19" i="10"/>
  <c r="O19" i="10"/>
  <c r="N19" i="10"/>
  <c r="M19" i="10"/>
  <c r="K19" i="10"/>
  <c r="J19" i="10"/>
  <c r="U18" i="10"/>
  <c r="S18" i="10"/>
  <c r="R18" i="10"/>
  <c r="Q18" i="10"/>
  <c r="O18" i="10"/>
  <c r="N18" i="10"/>
  <c r="M18" i="10"/>
  <c r="K18" i="10"/>
  <c r="J18" i="10"/>
  <c r="U17" i="10"/>
  <c r="S17" i="10"/>
  <c r="R17" i="10"/>
  <c r="Q17" i="10"/>
  <c r="O17" i="10"/>
  <c r="N17" i="10"/>
  <c r="M17" i="10"/>
  <c r="K17" i="10"/>
  <c r="J17" i="10"/>
  <c r="U16" i="10"/>
  <c r="V20" i="9" s="1"/>
  <c r="W20" i="9" s="1"/>
  <c r="S16" i="10"/>
  <c r="R16" i="10"/>
  <c r="Q16" i="10"/>
  <c r="O16" i="10"/>
  <c r="N16" i="10"/>
  <c r="M16" i="10"/>
  <c r="O20" i="9" s="1"/>
  <c r="K16" i="10"/>
  <c r="J16" i="10"/>
  <c r="U15" i="10"/>
  <c r="S15" i="10"/>
  <c r="R15" i="10"/>
  <c r="Q15" i="10"/>
  <c r="O15" i="10"/>
  <c r="N15" i="10"/>
  <c r="M15" i="10"/>
  <c r="O16" i="4" s="1"/>
  <c r="P16" i="4" s="1"/>
  <c r="K15" i="10"/>
  <c r="J15" i="10"/>
  <c r="U14" i="10"/>
  <c r="S14" i="10"/>
  <c r="R14" i="10"/>
  <c r="Q14" i="10"/>
  <c r="O14" i="10"/>
  <c r="N14" i="10"/>
  <c r="M14" i="10"/>
  <c r="O48" i="9" s="1"/>
  <c r="K14" i="10"/>
  <c r="J14" i="10"/>
  <c r="U13" i="10"/>
  <c r="S13" i="10"/>
  <c r="R13" i="10"/>
  <c r="Q13" i="10"/>
  <c r="T142" i="6" s="1"/>
  <c r="O13" i="10"/>
  <c r="N13" i="10"/>
  <c r="M13" i="10"/>
  <c r="O142" i="6" s="1"/>
  <c r="P142" i="6" s="1"/>
  <c r="K13" i="10"/>
  <c r="J13" i="10"/>
  <c r="U12" i="10"/>
  <c r="S12" i="10"/>
  <c r="R12" i="10"/>
  <c r="Q12" i="10"/>
  <c r="O12" i="10"/>
  <c r="N12" i="10"/>
  <c r="M12" i="10"/>
  <c r="K12" i="10"/>
  <c r="J12" i="10"/>
  <c r="U11" i="10"/>
  <c r="S11" i="10"/>
  <c r="R11" i="10"/>
  <c r="Q11" i="10"/>
  <c r="O11" i="10"/>
  <c r="N11" i="10"/>
  <c r="M11" i="10"/>
  <c r="K11" i="10"/>
  <c r="J11" i="10"/>
  <c r="U10" i="10"/>
  <c r="V59" i="8" s="1"/>
  <c r="W59" i="8" s="1"/>
  <c r="S10" i="10"/>
  <c r="R10" i="10"/>
  <c r="Q10" i="10"/>
  <c r="O10" i="10"/>
  <c r="N10" i="10"/>
  <c r="M10" i="10"/>
  <c r="K10" i="10"/>
  <c r="J10" i="10"/>
  <c r="U9" i="10"/>
  <c r="V12" i="7" s="1"/>
  <c r="S9" i="10"/>
  <c r="R9" i="10"/>
  <c r="Q9" i="10"/>
  <c r="O9" i="10"/>
  <c r="N9" i="10"/>
  <c r="M9" i="10"/>
  <c r="K9" i="10"/>
  <c r="J9" i="10"/>
  <c r="G189" i="9"/>
  <c r="G188" i="9"/>
  <c r="G187" i="9"/>
  <c r="G186" i="9"/>
  <c r="G183" i="9"/>
  <c r="G182" i="9"/>
  <c r="G179" i="9"/>
  <c r="G178" i="9"/>
  <c r="G173" i="9"/>
  <c r="G152" i="9"/>
  <c r="X148" i="9"/>
  <c r="V148" i="9"/>
  <c r="W148" i="9" s="1"/>
  <c r="P148" i="9"/>
  <c r="R148" i="9" s="1"/>
  <c r="G148" i="9"/>
  <c r="H146" i="9"/>
  <c r="E146" i="9"/>
  <c r="T145" i="9"/>
  <c r="T146" i="9" s="1"/>
  <c r="J145" i="9"/>
  <c r="J146" i="9" s="1"/>
  <c r="C145" i="9"/>
  <c r="C146" i="9" s="1"/>
  <c r="P144" i="9"/>
  <c r="R144" i="9" s="1"/>
  <c r="L144" i="9"/>
  <c r="R143" i="9"/>
  <c r="P143" i="9"/>
  <c r="U142" i="9"/>
  <c r="U146" i="9" s="1"/>
  <c r="T142" i="9"/>
  <c r="O142" i="9"/>
  <c r="N142" i="9"/>
  <c r="J142" i="9"/>
  <c r="I142" i="9"/>
  <c r="G142" i="9"/>
  <c r="F142" i="9"/>
  <c r="X141" i="9"/>
  <c r="V141" i="9"/>
  <c r="W141" i="9" s="1"/>
  <c r="P141" i="9"/>
  <c r="R141" i="9" s="1"/>
  <c r="K141" i="9"/>
  <c r="W140" i="9"/>
  <c r="X140" i="9" s="1"/>
  <c r="X142" i="9" s="1"/>
  <c r="V140" i="9"/>
  <c r="V142" i="9" s="1"/>
  <c r="R140" i="9"/>
  <c r="P140" i="9"/>
  <c r="K140" i="9"/>
  <c r="P139" i="9"/>
  <c r="R139" i="9" s="1"/>
  <c r="C139" i="9"/>
  <c r="C142" i="9" s="1"/>
  <c r="R138" i="9"/>
  <c r="P138" i="9"/>
  <c r="U137" i="9"/>
  <c r="T137" i="9"/>
  <c r="O137" i="9"/>
  <c r="N137" i="9"/>
  <c r="J137" i="9"/>
  <c r="I137" i="9"/>
  <c r="G137" i="9"/>
  <c r="F137" i="9"/>
  <c r="C137" i="9"/>
  <c r="V136" i="9"/>
  <c r="W136" i="9" s="1"/>
  <c r="X136" i="9" s="1"/>
  <c r="P136" i="9"/>
  <c r="R136" i="9" s="1"/>
  <c r="V135" i="9"/>
  <c r="W135" i="9" s="1"/>
  <c r="X135" i="9" s="1"/>
  <c r="P135" i="9"/>
  <c r="R135" i="9" s="1"/>
  <c r="K135" i="9"/>
  <c r="V134" i="9"/>
  <c r="W134" i="9" s="1"/>
  <c r="X134" i="9" s="1"/>
  <c r="R134" i="9"/>
  <c r="P134" i="9"/>
  <c r="K134" i="9"/>
  <c r="W133" i="9"/>
  <c r="X133" i="9" s="1"/>
  <c r="V133" i="9"/>
  <c r="P133" i="9"/>
  <c r="R133" i="9" s="1"/>
  <c r="K133" i="9"/>
  <c r="V132" i="9"/>
  <c r="W132" i="9" s="1"/>
  <c r="X132" i="9" s="1"/>
  <c r="P132" i="9"/>
  <c r="R132" i="9" s="1"/>
  <c r="K132" i="9"/>
  <c r="K137" i="9" s="1"/>
  <c r="W131" i="9"/>
  <c r="V131" i="9"/>
  <c r="R131" i="9"/>
  <c r="P131" i="9"/>
  <c r="R130" i="9"/>
  <c r="P130" i="9"/>
  <c r="U129" i="9"/>
  <c r="T129" i="9"/>
  <c r="O129" i="9"/>
  <c r="N129" i="9"/>
  <c r="J129" i="9"/>
  <c r="I129" i="9"/>
  <c r="I146" i="9" s="1"/>
  <c r="G129" i="9"/>
  <c r="F129" i="9"/>
  <c r="D129" i="9"/>
  <c r="C129" i="9"/>
  <c r="V128" i="9"/>
  <c r="R128" i="9"/>
  <c r="P128" i="9"/>
  <c r="K128" i="9"/>
  <c r="W127" i="9"/>
  <c r="X127" i="9" s="1"/>
  <c r="P127" i="9"/>
  <c r="R127" i="9" s="1"/>
  <c r="K127" i="9"/>
  <c r="W126" i="9"/>
  <c r="X126" i="9" s="1"/>
  <c r="P126" i="9"/>
  <c r="R126" i="9" s="1"/>
  <c r="K126" i="9"/>
  <c r="X125" i="9"/>
  <c r="W125" i="9"/>
  <c r="P125" i="9"/>
  <c r="R125" i="9" s="1"/>
  <c r="K125" i="9"/>
  <c r="W124" i="9"/>
  <c r="X124" i="9" s="1"/>
  <c r="R124" i="9"/>
  <c r="P124" i="9"/>
  <c r="K124" i="9"/>
  <c r="W123" i="9"/>
  <c r="X123" i="9" s="1"/>
  <c r="P123" i="9"/>
  <c r="R123" i="9" s="1"/>
  <c r="K123" i="9"/>
  <c r="K129" i="9" s="1"/>
  <c r="W122" i="9"/>
  <c r="X122" i="9" s="1"/>
  <c r="P122" i="9"/>
  <c r="R122" i="9" s="1"/>
  <c r="K122" i="9"/>
  <c r="X121" i="9"/>
  <c r="W121" i="9"/>
  <c r="P121" i="9"/>
  <c r="R121" i="9" s="1"/>
  <c r="K121" i="9"/>
  <c r="W120" i="9"/>
  <c r="X120" i="9" s="1"/>
  <c r="R120" i="9"/>
  <c r="P120" i="9"/>
  <c r="K120" i="9"/>
  <c r="W119" i="9"/>
  <c r="X119" i="9" s="1"/>
  <c r="P119" i="9"/>
  <c r="R119" i="9" s="1"/>
  <c r="K119" i="9"/>
  <c r="W118" i="9"/>
  <c r="X118" i="9" s="1"/>
  <c r="P118" i="9"/>
  <c r="R118" i="9" s="1"/>
  <c r="K118" i="9"/>
  <c r="X117" i="9"/>
  <c r="W117" i="9"/>
  <c r="P117" i="9"/>
  <c r="R117" i="9" s="1"/>
  <c r="K117" i="9"/>
  <c r="W116" i="9"/>
  <c r="X116" i="9" s="1"/>
  <c r="R116" i="9"/>
  <c r="P116" i="9"/>
  <c r="K116" i="9"/>
  <c r="W115" i="9"/>
  <c r="X115" i="9" s="1"/>
  <c r="P115" i="9"/>
  <c r="R115" i="9" s="1"/>
  <c r="K115" i="9"/>
  <c r="W114" i="9"/>
  <c r="X114" i="9" s="1"/>
  <c r="P114" i="9"/>
  <c r="R114" i="9" s="1"/>
  <c r="K114" i="9"/>
  <c r="X113" i="9"/>
  <c r="W113" i="9"/>
  <c r="P113" i="9"/>
  <c r="R113" i="9" s="1"/>
  <c r="K113" i="9"/>
  <c r="W112" i="9"/>
  <c r="X112" i="9" s="1"/>
  <c r="R112" i="9"/>
  <c r="P112" i="9"/>
  <c r="K112" i="9"/>
  <c r="W111" i="9"/>
  <c r="X111" i="9" s="1"/>
  <c r="P111" i="9"/>
  <c r="R111" i="9" s="1"/>
  <c r="K111" i="9"/>
  <c r="W110" i="9"/>
  <c r="X110" i="9" s="1"/>
  <c r="P110" i="9"/>
  <c r="R110" i="9" s="1"/>
  <c r="K110" i="9"/>
  <c r="X109" i="9"/>
  <c r="W109" i="9"/>
  <c r="P109" i="9"/>
  <c r="R109" i="9" s="1"/>
  <c r="K109" i="9"/>
  <c r="W108" i="9"/>
  <c r="X108" i="9" s="1"/>
  <c r="R108" i="9"/>
  <c r="P108" i="9"/>
  <c r="K108" i="9"/>
  <c r="W107" i="9"/>
  <c r="X107" i="9" s="1"/>
  <c r="P107" i="9"/>
  <c r="R107" i="9" s="1"/>
  <c r="K107" i="9"/>
  <c r="W106" i="9"/>
  <c r="X106" i="9" s="1"/>
  <c r="P106" i="9"/>
  <c r="R106" i="9" s="1"/>
  <c r="K106" i="9"/>
  <c r="X105" i="9"/>
  <c r="W105" i="9"/>
  <c r="P105" i="9"/>
  <c r="R105" i="9" s="1"/>
  <c r="K105" i="9"/>
  <c r="W104" i="9"/>
  <c r="R104" i="9"/>
  <c r="P104" i="9"/>
  <c r="K104" i="9"/>
  <c r="R103" i="9"/>
  <c r="R102" i="9"/>
  <c r="R101" i="9"/>
  <c r="U100" i="9"/>
  <c r="N100" i="9"/>
  <c r="I100" i="9"/>
  <c r="G100" i="9"/>
  <c r="D100" i="9"/>
  <c r="J99" i="9"/>
  <c r="K99" i="9" s="1"/>
  <c r="L99" i="9" s="1"/>
  <c r="C99" i="9"/>
  <c r="C100" i="9" s="1"/>
  <c r="W98" i="9"/>
  <c r="X98" i="9" s="1"/>
  <c r="P98" i="9"/>
  <c r="R98" i="9" s="1"/>
  <c r="K98" i="9"/>
  <c r="L98" i="9" s="1"/>
  <c r="X97" i="9"/>
  <c r="W97" i="9"/>
  <c r="P97" i="9"/>
  <c r="R97" i="9" s="1"/>
  <c r="K97" i="9"/>
  <c r="W96" i="9"/>
  <c r="X96" i="9" s="1"/>
  <c r="R96" i="9"/>
  <c r="P96" i="9"/>
  <c r="K96" i="9"/>
  <c r="W95" i="9"/>
  <c r="X95" i="9" s="1"/>
  <c r="P95" i="9"/>
  <c r="R95" i="9" s="1"/>
  <c r="K95" i="9"/>
  <c r="W94" i="9"/>
  <c r="X94" i="9" s="1"/>
  <c r="P94" i="9"/>
  <c r="R94" i="9" s="1"/>
  <c r="K94" i="9"/>
  <c r="X93" i="9"/>
  <c r="W93" i="9"/>
  <c r="P93" i="9"/>
  <c r="R93" i="9" s="1"/>
  <c r="K93" i="9"/>
  <c r="W92" i="9"/>
  <c r="X92" i="9" s="1"/>
  <c r="R92" i="9"/>
  <c r="P92" i="9"/>
  <c r="K92" i="9"/>
  <c r="W91" i="9"/>
  <c r="X91" i="9" s="1"/>
  <c r="P91" i="9"/>
  <c r="R91" i="9" s="1"/>
  <c r="K91" i="9"/>
  <c r="W90" i="9"/>
  <c r="X90" i="9" s="1"/>
  <c r="P90" i="9"/>
  <c r="R90" i="9" s="1"/>
  <c r="K90" i="9"/>
  <c r="X89" i="9"/>
  <c r="W89" i="9"/>
  <c r="P89" i="9"/>
  <c r="R89" i="9" s="1"/>
  <c r="K89" i="9"/>
  <c r="L89" i="9" s="1"/>
  <c r="X88" i="9"/>
  <c r="W88" i="9"/>
  <c r="P88" i="9"/>
  <c r="R88" i="9" s="1"/>
  <c r="K88" i="9"/>
  <c r="X87" i="9"/>
  <c r="W87" i="9"/>
  <c r="P87" i="9"/>
  <c r="R87" i="9" s="1"/>
  <c r="K87" i="9"/>
  <c r="E87" i="9"/>
  <c r="E100" i="9" s="1"/>
  <c r="W86" i="9"/>
  <c r="X86" i="9" s="1"/>
  <c r="P86" i="9"/>
  <c r="R86" i="9" s="1"/>
  <c r="L86" i="9"/>
  <c r="W85" i="9"/>
  <c r="X85" i="9" s="1"/>
  <c r="R85" i="9"/>
  <c r="P85" i="9"/>
  <c r="W84" i="9"/>
  <c r="X84" i="9" s="1"/>
  <c r="R84" i="9"/>
  <c r="P84" i="9"/>
  <c r="R83" i="9"/>
  <c r="P83" i="9"/>
  <c r="A83" i="9"/>
  <c r="A84" i="9" s="1"/>
  <c r="A85" i="9" s="1"/>
  <c r="A87" i="9" s="1"/>
  <c r="A88" i="9" s="1"/>
  <c r="A89" i="9" s="1"/>
  <c r="A90" i="9" s="1"/>
  <c r="A91" i="9" s="1"/>
  <c r="A92" i="9" s="1"/>
  <c r="A93" i="9" s="1"/>
  <c r="A94" i="9" s="1"/>
  <c r="A95" i="9" s="1"/>
  <c r="A96" i="9" s="1"/>
  <c r="A97"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7" i="9" s="1"/>
  <c r="A138" i="9" s="1"/>
  <c r="A139" i="9" s="1"/>
  <c r="A140" i="9" s="1"/>
  <c r="A141" i="9" s="1"/>
  <c r="A142" i="9" s="1"/>
  <c r="A143" i="9" s="1"/>
  <c r="A145" i="9" s="1"/>
  <c r="A146" i="9" s="1"/>
  <c r="A147" i="9" s="1"/>
  <c r="Y82" i="9"/>
  <c r="U82" i="9"/>
  <c r="N82" i="9"/>
  <c r="I82" i="9"/>
  <c r="K80" i="9" s="1"/>
  <c r="L80" i="9" s="1"/>
  <c r="H82" i="9"/>
  <c r="G82" i="9"/>
  <c r="E82" i="9"/>
  <c r="A82" i="9"/>
  <c r="W81" i="9"/>
  <c r="V81" i="9"/>
  <c r="V82" i="9" s="1"/>
  <c r="O81" i="9"/>
  <c r="P81" i="9" s="1"/>
  <c r="R81" i="9" s="1"/>
  <c r="J81" i="9"/>
  <c r="J82" i="9" s="1"/>
  <c r="C81" i="9"/>
  <c r="X80" i="9"/>
  <c r="W80" i="9"/>
  <c r="R80" i="9"/>
  <c r="P80" i="9"/>
  <c r="W79" i="9"/>
  <c r="X79" i="9" s="1"/>
  <c r="R79" i="9"/>
  <c r="P79" i="9"/>
  <c r="O79" i="9"/>
  <c r="K79" i="9"/>
  <c r="L79" i="9" s="1"/>
  <c r="C79" i="9"/>
  <c r="W78" i="9"/>
  <c r="X78" i="9" s="1"/>
  <c r="P78" i="9"/>
  <c r="R78" i="9" s="1"/>
  <c r="L78" i="9"/>
  <c r="K78" i="9"/>
  <c r="W77" i="9"/>
  <c r="X77" i="9" s="1"/>
  <c r="P77" i="9"/>
  <c r="R77" i="9" s="1"/>
  <c r="K77" i="9"/>
  <c r="R76" i="9"/>
  <c r="P76" i="9"/>
  <c r="P75" i="9"/>
  <c r="R75" i="9" s="1"/>
  <c r="A75" i="9"/>
  <c r="A76" i="9" s="1"/>
  <c r="A77" i="9" s="1"/>
  <c r="Y74" i="9"/>
  <c r="U74" i="9"/>
  <c r="N74" i="9"/>
  <c r="I74" i="9"/>
  <c r="H74" i="9"/>
  <c r="G74" i="9"/>
  <c r="E74" i="9"/>
  <c r="D74" i="9"/>
  <c r="A74" i="9"/>
  <c r="W73" i="9"/>
  <c r="X73" i="9" s="1"/>
  <c r="R73" i="9"/>
  <c r="P73" i="9"/>
  <c r="K73" i="9"/>
  <c r="L73" i="9" s="1"/>
  <c r="V72" i="9"/>
  <c r="W72" i="9" s="1"/>
  <c r="W74" i="9" s="1"/>
  <c r="T72" i="9"/>
  <c r="J72" i="9"/>
  <c r="J74" i="9" s="1"/>
  <c r="C72" i="9"/>
  <c r="C74" i="9" s="1"/>
  <c r="V71" i="9"/>
  <c r="W71" i="9" s="1"/>
  <c r="X71" i="9" s="1"/>
  <c r="R71" i="9"/>
  <c r="P71" i="9"/>
  <c r="K71" i="9"/>
  <c r="L71" i="9" s="1"/>
  <c r="X70" i="9"/>
  <c r="W70" i="9"/>
  <c r="V70" i="9"/>
  <c r="V74" i="9" s="1"/>
  <c r="P70" i="9"/>
  <c r="K70" i="9"/>
  <c r="E70" i="9"/>
  <c r="L70" i="9" s="1"/>
  <c r="R69" i="9"/>
  <c r="P69" i="9"/>
  <c r="A69" i="9"/>
  <c r="P68" i="9"/>
  <c r="R68" i="9" s="1"/>
  <c r="A68" i="9"/>
  <c r="Y67" i="9"/>
  <c r="U67" i="9"/>
  <c r="H67" i="9"/>
  <c r="G67" i="9"/>
  <c r="E67" i="9"/>
  <c r="D67" i="9"/>
  <c r="W66" i="9"/>
  <c r="X66" i="9" s="1"/>
  <c r="R66" i="9"/>
  <c r="P66" i="9"/>
  <c r="V65" i="9"/>
  <c r="W65" i="9" s="1"/>
  <c r="T65" i="9"/>
  <c r="O65" i="9"/>
  <c r="P65" i="9" s="1"/>
  <c r="R65" i="9" s="1"/>
  <c r="K65" i="9"/>
  <c r="L65" i="9" s="1"/>
  <c r="F65" i="9"/>
  <c r="V64" i="9"/>
  <c r="W64" i="9" s="1"/>
  <c r="T64" i="9"/>
  <c r="O64" i="9"/>
  <c r="J64" i="9"/>
  <c r="J67" i="9" s="1"/>
  <c r="C64" i="9"/>
  <c r="W63" i="9"/>
  <c r="X63" i="9" s="1"/>
  <c r="R63" i="9"/>
  <c r="P63" i="9"/>
  <c r="K63" i="9"/>
  <c r="L63" i="9" s="1"/>
  <c r="X62" i="9"/>
  <c r="W62" i="9"/>
  <c r="P62" i="9"/>
  <c r="R62" i="9" s="1"/>
  <c r="L62" i="9"/>
  <c r="K62" i="9"/>
  <c r="X61" i="9"/>
  <c r="W61" i="9"/>
  <c r="N61" i="9"/>
  <c r="N67" i="9" s="1"/>
  <c r="L61" i="9"/>
  <c r="K61" i="9"/>
  <c r="I61" i="9"/>
  <c r="I67" i="9" s="1"/>
  <c r="K66" i="9" s="1"/>
  <c r="L66" i="9" s="1"/>
  <c r="X60" i="9"/>
  <c r="W60" i="9"/>
  <c r="P60" i="9"/>
  <c r="R60" i="9" s="1"/>
  <c r="L60" i="9"/>
  <c r="K60" i="9"/>
  <c r="X59" i="9"/>
  <c r="W59" i="9"/>
  <c r="V59" i="9"/>
  <c r="P59" i="9"/>
  <c r="R59" i="9" s="1"/>
  <c r="K59" i="9"/>
  <c r="F59" i="9"/>
  <c r="X58" i="9"/>
  <c r="W58" i="9"/>
  <c r="P58" i="9"/>
  <c r="R58" i="9" s="1"/>
  <c r="L58" i="9"/>
  <c r="K58" i="9"/>
  <c r="W57" i="9"/>
  <c r="V57" i="9"/>
  <c r="P57" i="9"/>
  <c r="R57" i="9" s="1"/>
  <c r="L57" i="9"/>
  <c r="K57" i="9"/>
  <c r="C57" i="9"/>
  <c r="C67" i="9" s="1"/>
  <c r="C58" i="1" s="1"/>
  <c r="R56" i="9"/>
  <c r="P56" i="9"/>
  <c r="P55" i="9"/>
  <c r="R55" i="9" s="1"/>
  <c r="P54" i="9"/>
  <c r="R54" i="9" s="1"/>
  <c r="X52" i="9"/>
  <c r="W52" i="9"/>
  <c r="P52" i="9"/>
  <c r="R52" i="9" s="1"/>
  <c r="Y51" i="9"/>
  <c r="U51" i="9"/>
  <c r="N51" i="9"/>
  <c r="I51" i="9"/>
  <c r="G51" i="9"/>
  <c r="V50" i="9"/>
  <c r="W50" i="9" s="1"/>
  <c r="T50" i="9"/>
  <c r="O50" i="9"/>
  <c r="P50" i="9" s="1"/>
  <c r="R50" i="9" s="1"/>
  <c r="K50" i="9"/>
  <c r="L50" i="9" s="1"/>
  <c r="F50" i="9"/>
  <c r="V49" i="9"/>
  <c r="W49" i="9" s="1"/>
  <c r="T49" i="9"/>
  <c r="O49" i="9"/>
  <c r="P49" i="9" s="1"/>
  <c r="R49" i="9" s="1"/>
  <c r="J49" i="9"/>
  <c r="K49" i="9" s="1"/>
  <c r="L49" i="9" s="1"/>
  <c r="C49" i="9"/>
  <c r="T48" i="9"/>
  <c r="J48" i="9"/>
  <c r="C48" i="9"/>
  <c r="W47" i="9"/>
  <c r="X47" i="9" s="1"/>
  <c r="R47" i="9"/>
  <c r="P47" i="9"/>
  <c r="K47" i="9"/>
  <c r="F47" i="9"/>
  <c r="E47" i="9"/>
  <c r="E51" i="9" s="1"/>
  <c r="P46" i="9"/>
  <c r="R46" i="9" s="1"/>
  <c r="Y45" i="9"/>
  <c r="W45" i="9"/>
  <c r="V45" i="9"/>
  <c r="U45" i="9"/>
  <c r="T45" i="9"/>
  <c r="O45" i="9"/>
  <c r="N45" i="9"/>
  <c r="J45" i="9"/>
  <c r="I45" i="9"/>
  <c r="H45" i="9"/>
  <c r="G45" i="9"/>
  <c r="E45" i="9"/>
  <c r="D45" i="9"/>
  <c r="W44" i="9"/>
  <c r="X44" i="9" s="1"/>
  <c r="R44" i="9"/>
  <c r="P44" i="9"/>
  <c r="K44" i="9"/>
  <c r="L44" i="9" s="1"/>
  <c r="X43" i="9"/>
  <c r="P43" i="9"/>
  <c r="R43" i="9" s="1"/>
  <c r="K43" i="9"/>
  <c r="L43" i="9" s="1"/>
  <c r="F43" i="9"/>
  <c r="E43" i="9"/>
  <c r="X42" i="9"/>
  <c r="W42" i="9"/>
  <c r="P42" i="9"/>
  <c r="R42" i="9" s="1"/>
  <c r="K42" i="9"/>
  <c r="L42" i="9" s="1"/>
  <c r="E42" i="9"/>
  <c r="A42" i="9"/>
  <c r="A43" i="9" s="1"/>
  <c r="A45" i="9" s="1"/>
  <c r="A46" i="9" s="1"/>
  <c r="A47" i="9" s="1"/>
  <c r="A48" i="9" s="1"/>
  <c r="A49" i="9" s="1"/>
  <c r="A50" i="9" s="1"/>
  <c r="A51" i="9" s="1"/>
  <c r="A52" i="9" s="1"/>
  <c r="A53" i="9" s="1"/>
  <c r="A54" i="9" s="1"/>
  <c r="A55" i="9" s="1"/>
  <c r="A56" i="9" s="1"/>
  <c r="A57" i="9" s="1"/>
  <c r="A58" i="9" s="1"/>
  <c r="A59" i="9" s="1"/>
  <c r="A60" i="9" s="1"/>
  <c r="A61" i="9" s="1"/>
  <c r="A62" i="9" s="1"/>
  <c r="A63" i="9" s="1"/>
  <c r="X41" i="9"/>
  <c r="W41" i="9"/>
  <c r="P41" i="9"/>
  <c r="R41" i="9" s="1"/>
  <c r="K41" i="9"/>
  <c r="L41" i="9" s="1"/>
  <c r="W40" i="9"/>
  <c r="X40" i="9" s="1"/>
  <c r="R40" i="9"/>
  <c r="P40" i="9"/>
  <c r="K40" i="9"/>
  <c r="L40" i="9" s="1"/>
  <c r="F40" i="9"/>
  <c r="X39" i="9"/>
  <c r="W39" i="9"/>
  <c r="P39" i="9"/>
  <c r="R39" i="9" s="1"/>
  <c r="K39" i="9"/>
  <c r="L39" i="9" s="1"/>
  <c r="W38" i="9"/>
  <c r="X38" i="9" s="1"/>
  <c r="R38" i="9"/>
  <c r="P38" i="9"/>
  <c r="K38" i="9"/>
  <c r="L38" i="9" s="1"/>
  <c r="W37" i="9"/>
  <c r="X37" i="9" s="1"/>
  <c r="P37" i="9"/>
  <c r="R37" i="9" s="1"/>
  <c r="K37" i="9"/>
  <c r="F37" i="9"/>
  <c r="F45" i="9" s="1"/>
  <c r="E37" i="9"/>
  <c r="L37" i="9" s="1"/>
  <c r="W36" i="9"/>
  <c r="X36" i="9" s="1"/>
  <c r="R36" i="9"/>
  <c r="P36" i="9"/>
  <c r="K36" i="9"/>
  <c r="W35" i="9"/>
  <c r="X35" i="9" s="1"/>
  <c r="P35" i="9"/>
  <c r="R35" i="9" s="1"/>
  <c r="P34" i="9"/>
  <c r="R34" i="9" s="1"/>
  <c r="Y33" i="9"/>
  <c r="Y53" i="9" s="1"/>
  <c r="V33" i="9"/>
  <c r="U33" i="9"/>
  <c r="U53" i="9" s="1"/>
  <c r="T33" i="9"/>
  <c r="O33" i="9"/>
  <c r="N33" i="9"/>
  <c r="N53" i="9" s="1"/>
  <c r="J33" i="9"/>
  <c r="I33" i="9"/>
  <c r="K32" i="9" s="1"/>
  <c r="L32" i="9" s="1"/>
  <c r="G33" i="9"/>
  <c r="G53" i="9" s="1"/>
  <c r="E33" i="9"/>
  <c r="E53" i="9" s="1"/>
  <c r="D33" i="9"/>
  <c r="D53" i="9" s="1"/>
  <c r="X32" i="9"/>
  <c r="W32" i="9"/>
  <c r="P32" i="9"/>
  <c r="R32" i="9" s="1"/>
  <c r="W31" i="9"/>
  <c r="X31" i="9" s="1"/>
  <c r="R31" i="9"/>
  <c r="P31" i="9"/>
  <c r="K31" i="9"/>
  <c r="L31" i="9" s="1"/>
  <c r="W30" i="9"/>
  <c r="X30" i="9" s="1"/>
  <c r="R30" i="9"/>
  <c r="P30" i="9"/>
  <c r="K30" i="9"/>
  <c r="L30" i="9" s="1"/>
  <c r="W29" i="9"/>
  <c r="X29" i="9" s="1"/>
  <c r="P29" i="9"/>
  <c r="R29" i="9" s="1"/>
  <c r="L29" i="9"/>
  <c r="K29" i="9"/>
  <c r="X28" i="9"/>
  <c r="W28" i="9"/>
  <c r="P28" i="9"/>
  <c r="R28" i="9" s="1"/>
  <c r="L28" i="9"/>
  <c r="K28" i="9"/>
  <c r="W27" i="9"/>
  <c r="P27" i="9"/>
  <c r="P33" i="9" s="1"/>
  <c r="R33" i="9" s="1"/>
  <c r="K27" i="9"/>
  <c r="L27" i="9" s="1"/>
  <c r="F27" i="9"/>
  <c r="F33" i="9" s="1"/>
  <c r="W26" i="9"/>
  <c r="X26" i="9" s="1"/>
  <c r="P26" i="9"/>
  <c r="R26" i="9" s="1"/>
  <c r="P25" i="9"/>
  <c r="R25" i="9" s="1"/>
  <c r="P24" i="9"/>
  <c r="R24" i="9" s="1"/>
  <c r="Y23" i="9"/>
  <c r="U23" i="9"/>
  <c r="H23" i="9"/>
  <c r="G23" i="9"/>
  <c r="E23" i="9"/>
  <c r="D23" i="9"/>
  <c r="W22" i="9"/>
  <c r="X22" i="9" s="1"/>
  <c r="P22" i="9"/>
  <c r="R22" i="9" s="1"/>
  <c r="X21" i="9"/>
  <c r="W21" i="9"/>
  <c r="P21" i="9"/>
  <c r="R21" i="9" s="1"/>
  <c r="T20" i="9"/>
  <c r="T23" i="9" s="1"/>
  <c r="J20" i="9"/>
  <c r="K20" i="9" s="1"/>
  <c r="L20" i="9" s="1"/>
  <c r="C20" i="9"/>
  <c r="C23" i="9" s="1"/>
  <c r="W19" i="9"/>
  <c r="X19" i="9" s="1"/>
  <c r="P19" i="9"/>
  <c r="R19" i="9" s="1"/>
  <c r="K19" i="9"/>
  <c r="L19" i="9" s="1"/>
  <c r="W18" i="9"/>
  <c r="X18" i="9" s="1"/>
  <c r="R18" i="9"/>
  <c r="P18" i="9"/>
  <c r="L18" i="9"/>
  <c r="K18" i="9"/>
  <c r="X17" i="9"/>
  <c r="W17" i="9"/>
  <c r="P17" i="9"/>
  <c r="R17" i="9" s="1"/>
  <c r="K17" i="9"/>
  <c r="L17" i="9" s="1"/>
  <c r="W16" i="9"/>
  <c r="X16" i="9" s="1"/>
  <c r="P16" i="9"/>
  <c r="R16" i="9" s="1"/>
  <c r="L16" i="9"/>
  <c r="K16" i="9"/>
  <c r="W15" i="9"/>
  <c r="X15" i="9" s="1"/>
  <c r="R15" i="9"/>
  <c r="P15" i="9"/>
  <c r="K15" i="9"/>
  <c r="L15" i="9" s="1"/>
  <c r="W14" i="9"/>
  <c r="X14" i="9" s="1"/>
  <c r="P14" i="9"/>
  <c r="R14" i="9" s="1"/>
  <c r="K14" i="9"/>
  <c r="L14" i="9" s="1"/>
  <c r="W13" i="9"/>
  <c r="X13" i="9" s="1"/>
  <c r="P13" i="9"/>
  <c r="R13" i="9" s="1"/>
  <c r="L13" i="9"/>
  <c r="K13" i="9"/>
  <c r="X12" i="9"/>
  <c r="W12" i="9"/>
  <c r="P12" i="9"/>
  <c r="R12" i="9" s="1"/>
  <c r="K12" i="9"/>
  <c r="L12" i="9" s="1"/>
  <c r="W11" i="9"/>
  <c r="X11" i="9" s="1"/>
  <c r="P11" i="9"/>
  <c r="R11" i="9" s="1"/>
  <c r="K11" i="9"/>
  <c r="L11" i="9" s="1"/>
  <c r="W10" i="9"/>
  <c r="X10" i="9" s="1"/>
  <c r="N10" i="9"/>
  <c r="P10" i="9" s="1"/>
  <c r="R10" i="9" s="1"/>
  <c r="K10" i="9"/>
  <c r="L10" i="9" s="1"/>
  <c r="I10" i="9"/>
  <c r="I23" i="9" s="1"/>
  <c r="K22" i="9" s="1"/>
  <c r="L22" i="9" s="1"/>
  <c r="W9" i="9"/>
  <c r="X9" i="9" s="1"/>
  <c r="P9" i="9"/>
  <c r="R9" i="9" s="1"/>
  <c r="K9" i="9"/>
  <c r="L9" i="9" s="1"/>
  <c r="W8" i="9"/>
  <c r="X8" i="9" s="1"/>
  <c r="R8" i="9"/>
  <c r="P8" i="9"/>
  <c r="L8" i="9"/>
  <c r="W7" i="9"/>
  <c r="P7" i="9"/>
  <c r="L7" i="9"/>
  <c r="G172" i="8"/>
  <c r="G171" i="8"/>
  <c r="G170" i="8"/>
  <c r="G169" i="8"/>
  <c r="G166" i="8"/>
  <c r="G165" i="8"/>
  <c r="G162" i="8"/>
  <c r="G161" i="8"/>
  <c r="G156" i="8"/>
  <c r="G131" i="8"/>
  <c r="P61" i="8"/>
  <c r="R61" i="8" s="1"/>
  <c r="Y60" i="8"/>
  <c r="U60" i="8"/>
  <c r="N60" i="8"/>
  <c r="I60" i="8"/>
  <c r="H60" i="8"/>
  <c r="G60" i="8"/>
  <c r="E60" i="8"/>
  <c r="D60" i="8"/>
  <c r="C60" i="8"/>
  <c r="T59" i="8"/>
  <c r="O59" i="8"/>
  <c r="J59" i="8"/>
  <c r="J60" i="8" s="1"/>
  <c r="C59" i="8"/>
  <c r="W58" i="8"/>
  <c r="X58" i="8" s="1"/>
  <c r="P58" i="8"/>
  <c r="R58" i="8" s="1"/>
  <c r="K58" i="8"/>
  <c r="L58" i="8" s="1"/>
  <c r="X57" i="8"/>
  <c r="W57" i="8"/>
  <c r="P57" i="8"/>
  <c r="R57" i="8" s="1"/>
  <c r="K57" i="8"/>
  <c r="L57" i="8" s="1"/>
  <c r="W56" i="8"/>
  <c r="X56" i="8" s="1"/>
  <c r="T56" i="8"/>
  <c r="P56" i="8"/>
  <c r="R56" i="8" s="1"/>
  <c r="O56" i="8"/>
  <c r="L56" i="8"/>
  <c r="K56" i="8"/>
  <c r="X55" i="8"/>
  <c r="W55" i="8"/>
  <c r="P55" i="8"/>
  <c r="K55" i="8"/>
  <c r="L55" i="8" s="1"/>
  <c r="P54" i="8"/>
  <c r="R54" i="8" s="1"/>
  <c r="L54" i="8"/>
  <c r="R53" i="8"/>
  <c r="P53" i="8"/>
  <c r="L53" i="8"/>
  <c r="Y52" i="8"/>
  <c r="U52" i="8"/>
  <c r="N52" i="8"/>
  <c r="I52" i="8"/>
  <c r="D52" i="8"/>
  <c r="V51" i="8"/>
  <c r="W51" i="8" s="1"/>
  <c r="T51" i="8"/>
  <c r="J51" i="8"/>
  <c r="K51" i="8" s="1"/>
  <c r="L51" i="8" s="1"/>
  <c r="E51" i="8"/>
  <c r="C51" i="8"/>
  <c r="C52" i="8" s="1"/>
  <c r="W50" i="8"/>
  <c r="X50" i="8" s="1"/>
  <c r="R50" i="8"/>
  <c r="P50" i="8"/>
  <c r="L50" i="8"/>
  <c r="W49" i="8"/>
  <c r="X49" i="8" s="1"/>
  <c r="R49" i="8"/>
  <c r="P49" i="8"/>
  <c r="L49" i="8"/>
  <c r="K49" i="8"/>
  <c r="X48" i="8"/>
  <c r="W48" i="8"/>
  <c r="P48" i="8"/>
  <c r="R48" i="8" s="1"/>
  <c r="K48" i="8"/>
  <c r="A48" i="8"/>
  <c r="A51" i="8" s="1"/>
  <c r="A52" i="8" s="1"/>
  <c r="A53" i="8" s="1"/>
  <c r="A54" i="8" s="1"/>
  <c r="A55" i="8" s="1"/>
  <c r="A56" i="8" s="1"/>
  <c r="A57" i="8" s="1"/>
  <c r="A59" i="8" s="1"/>
  <c r="A60" i="8" s="1"/>
  <c r="A61" i="8" s="1"/>
  <c r="A62" i="8" s="1"/>
  <c r="A6" i="9" s="1"/>
  <c r="A7" i="9" s="1"/>
  <c r="A8" i="9" s="1"/>
  <c r="A9" i="9" s="1"/>
  <c r="A10" i="9" s="1"/>
  <c r="A11" i="9" s="1"/>
  <c r="A12" i="9" s="1"/>
  <c r="A13" i="9" s="1"/>
  <c r="A14" i="9" s="1"/>
  <c r="A15" i="9" s="1"/>
  <c r="A16" i="9" s="1"/>
  <c r="A17" i="9" s="1"/>
  <c r="A18" i="9" s="1"/>
  <c r="A19" i="9" s="1"/>
  <c r="A20" i="9" s="1"/>
  <c r="A21" i="9" s="1"/>
  <c r="A23" i="9" s="1"/>
  <c r="A24" i="9" s="1"/>
  <c r="A25" i="9" s="1"/>
  <c r="A26" i="9" s="1"/>
  <c r="A27" i="9" s="1"/>
  <c r="A28" i="9" s="1"/>
  <c r="A29" i="9" s="1"/>
  <c r="A30" i="9" s="1"/>
  <c r="A31" i="9" s="1"/>
  <c r="A33" i="9" s="1"/>
  <c r="A34" i="9" s="1"/>
  <c r="A35" i="9" s="1"/>
  <c r="A36" i="9" s="1"/>
  <c r="A37" i="9" s="1"/>
  <c r="A38" i="9" s="1"/>
  <c r="X47" i="8"/>
  <c r="W47" i="8"/>
  <c r="P47" i="8"/>
  <c r="R47" i="8" s="1"/>
  <c r="L47" i="8"/>
  <c r="K47" i="8"/>
  <c r="W46" i="8"/>
  <c r="X46" i="8" s="1"/>
  <c r="R46" i="8"/>
  <c r="P46" i="8"/>
  <c r="L46" i="8"/>
  <c r="W45" i="8"/>
  <c r="X45" i="8" s="1"/>
  <c r="P45" i="8"/>
  <c r="R45" i="8" s="1"/>
  <c r="L45" i="8"/>
  <c r="K45" i="8"/>
  <c r="W44" i="8"/>
  <c r="X44" i="8" s="1"/>
  <c r="P44" i="8"/>
  <c r="R44" i="8" s="1"/>
  <c r="K44" i="8"/>
  <c r="L44" i="8" s="1"/>
  <c r="X43" i="8"/>
  <c r="W43" i="8"/>
  <c r="R43" i="8"/>
  <c r="P43" i="8"/>
  <c r="L43" i="8"/>
  <c r="K43" i="8"/>
  <c r="E43" i="8"/>
  <c r="A43" i="8"/>
  <c r="A44" i="8" s="1"/>
  <c r="X42" i="8"/>
  <c r="W42" i="8"/>
  <c r="O42" i="8"/>
  <c r="K42" i="8"/>
  <c r="E42" i="8"/>
  <c r="L42" i="8" s="1"/>
  <c r="X41" i="8"/>
  <c r="W41" i="8"/>
  <c r="P41" i="8"/>
  <c r="R41" i="8" s="1"/>
  <c r="L41" i="8"/>
  <c r="K41" i="8"/>
  <c r="P40" i="8"/>
  <c r="T40" i="8" s="1"/>
  <c r="K40" i="8"/>
  <c r="G40" i="8"/>
  <c r="G52" i="8" s="1"/>
  <c r="E40" i="8"/>
  <c r="W39" i="8"/>
  <c r="X39" i="8" s="1"/>
  <c r="R39" i="8"/>
  <c r="P39" i="8"/>
  <c r="L39" i="8"/>
  <c r="K39" i="8"/>
  <c r="X38" i="8"/>
  <c r="W38" i="8"/>
  <c r="P38" i="8"/>
  <c r="K38" i="8"/>
  <c r="P37" i="8"/>
  <c r="R37" i="8" s="1"/>
  <c r="P36" i="8"/>
  <c r="R36" i="8" s="1"/>
  <c r="Y35" i="8"/>
  <c r="V35" i="8"/>
  <c r="U35" i="8"/>
  <c r="N35" i="8"/>
  <c r="J35" i="8"/>
  <c r="I35" i="8"/>
  <c r="G35" i="8"/>
  <c r="L35" i="8" s="1"/>
  <c r="F35" i="8"/>
  <c r="X34" i="8"/>
  <c r="P34" i="8"/>
  <c r="R34" i="8" s="1"/>
  <c r="L34" i="8"/>
  <c r="K34" i="8"/>
  <c r="C34" i="8"/>
  <c r="C35" i="8" s="1"/>
  <c r="V33" i="8"/>
  <c r="W33" i="8" s="1"/>
  <c r="W35" i="8" s="1"/>
  <c r="T33" i="8"/>
  <c r="O33" i="8"/>
  <c r="O35" i="8" s="1"/>
  <c r="K33" i="8"/>
  <c r="L33" i="8" s="1"/>
  <c r="P32" i="8"/>
  <c r="R32" i="8" s="1"/>
  <c r="L32" i="8"/>
  <c r="P31" i="8"/>
  <c r="R31" i="8" s="1"/>
  <c r="L31" i="8"/>
  <c r="P30" i="8"/>
  <c r="R30" i="8" s="1"/>
  <c r="L30" i="8"/>
  <c r="P29" i="8"/>
  <c r="R29" i="8" s="1"/>
  <c r="L29" i="8"/>
  <c r="Y28" i="8"/>
  <c r="U28" i="8"/>
  <c r="I28" i="8"/>
  <c r="I62" i="8" s="1"/>
  <c r="G28" i="8"/>
  <c r="E28" i="8"/>
  <c r="D28" i="8"/>
  <c r="D62" i="8" s="1"/>
  <c r="P27" i="8"/>
  <c r="R27" i="8" s="1"/>
  <c r="W26" i="8"/>
  <c r="X26" i="8" s="1"/>
  <c r="R26" i="8"/>
  <c r="P26" i="8"/>
  <c r="V25" i="8"/>
  <c r="W25" i="8" s="1"/>
  <c r="T25" i="8"/>
  <c r="T28" i="8" s="1"/>
  <c r="O25" i="8"/>
  <c r="O28" i="8" s="1"/>
  <c r="J25" i="8"/>
  <c r="J28" i="8" s="1"/>
  <c r="C25" i="8"/>
  <c r="C28" i="8" s="1"/>
  <c r="X24" i="8"/>
  <c r="W24" i="8"/>
  <c r="P24" i="8"/>
  <c r="R24" i="8" s="1"/>
  <c r="K24" i="8"/>
  <c r="L24" i="8" s="1"/>
  <c r="W23" i="8"/>
  <c r="X23" i="8" s="1"/>
  <c r="P23" i="8"/>
  <c r="R23" i="8" s="1"/>
  <c r="L23" i="8"/>
  <c r="K23" i="8"/>
  <c r="W22" i="8"/>
  <c r="X22" i="8" s="1"/>
  <c r="N22" i="8"/>
  <c r="P22" i="8" s="1"/>
  <c r="R22" i="8" s="1"/>
  <c r="L22" i="8"/>
  <c r="K22" i="8"/>
  <c r="W21" i="8"/>
  <c r="X21" i="8" s="1"/>
  <c r="N21" i="8"/>
  <c r="P21" i="8" s="1"/>
  <c r="R21" i="8" s="1"/>
  <c r="L21" i="8"/>
  <c r="K21" i="8"/>
  <c r="A21" i="8"/>
  <c r="A22" i="8" s="1"/>
  <c r="A23" i="8" s="1"/>
  <c r="A24" i="8" s="1"/>
  <c r="A25" i="8" s="1"/>
  <c r="A26" i="8" s="1"/>
  <c r="A28" i="8" s="1"/>
  <c r="A29" i="8" s="1"/>
  <c r="A30" i="8" s="1"/>
  <c r="A32" i="8" s="1"/>
  <c r="A33" i="8" s="1"/>
  <c r="A34" i="8" s="1"/>
  <c r="A35" i="8" s="1"/>
  <c r="A36" i="8" s="1"/>
  <c r="A37" i="8" s="1"/>
  <c r="A38" i="8" s="1"/>
  <c r="A39" i="8" s="1"/>
  <c r="W20" i="8"/>
  <c r="X20" i="8" s="1"/>
  <c r="P20" i="8"/>
  <c r="R20" i="8" s="1"/>
  <c r="K20" i="8"/>
  <c r="L20" i="8" s="1"/>
  <c r="W19" i="8"/>
  <c r="R19" i="8"/>
  <c r="K19" i="8"/>
  <c r="L19" i="8" s="1"/>
  <c r="W18" i="8"/>
  <c r="X18" i="8" s="1"/>
  <c r="R18" i="8"/>
  <c r="P18" i="8"/>
  <c r="X17" i="8"/>
  <c r="W17" i="8"/>
  <c r="P17" i="8"/>
  <c r="R17" i="8" s="1"/>
  <c r="W16" i="8"/>
  <c r="X16" i="8" s="1"/>
  <c r="P16" i="8"/>
  <c r="R16" i="8" s="1"/>
  <c r="L16" i="8"/>
  <c r="K16" i="8"/>
  <c r="W15" i="8"/>
  <c r="X15" i="8" s="1"/>
  <c r="P15" i="8"/>
  <c r="R15" i="8" s="1"/>
  <c r="L15" i="8"/>
  <c r="K15" i="8"/>
  <c r="X14" i="8"/>
  <c r="W14" i="8"/>
  <c r="P14" i="8"/>
  <c r="R14" i="8" s="1"/>
  <c r="W13" i="8"/>
  <c r="X13" i="8" s="1"/>
  <c r="R13" i="8"/>
  <c r="P13" i="8"/>
  <c r="L13" i="8"/>
  <c r="W12" i="8"/>
  <c r="X12" i="8" s="1"/>
  <c r="P12" i="8"/>
  <c r="R12" i="8" s="1"/>
  <c r="K12" i="8"/>
  <c r="C12" i="8"/>
  <c r="X11" i="8"/>
  <c r="W11" i="8"/>
  <c r="P11" i="8"/>
  <c r="R11" i="8" s="1"/>
  <c r="W10" i="8"/>
  <c r="X10" i="8" s="1"/>
  <c r="P10" i="8"/>
  <c r="R10" i="8" s="1"/>
  <c r="L10" i="8"/>
  <c r="K10" i="8"/>
  <c r="X8" i="8"/>
  <c r="N8" i="8"/>
  <c r="N28" i="8" s="1"/>
  <c r="N62" i="8" s="1"/>
  <c r="L8" i="8"/>
  <c r="C8" i="8"/>
  <c r="P7" i="8"/>
  <c r="R7" i="8" s="1"/>
  <c r="G183" i="7"/>
  <c r="G182" i="7"/>
  <c r="G181" i="7"/>
  <c r="G180" i="7"/>
  <c r="G177" i="7"/>
  <c r="G176" i="7"/>
  <c r="G173" i="7"/>
  <c r="G172" i="7"/>
  <c r="G167" i="7"/>
  <c r="G142" i="7"/>
  <c r="V112" i="7"/>
  <c r="U112" i="7"/>
  <c r="T112" i="7"/>
  <c r="P112" i="7"/>
  <c r="R112" i="7" s="1"/>
  <c r="K112" i="7"/>
  <c r="F112" i="7"/>
  <c r="C112" i="7"/>
  <c r="V111" i="7"/>
  <c r="U111" i="7"/>
  <c r="T111" i="7"/>
  <c r="R111" i="7"/>
  <c r="P111" i="7"/>
  <c r="K111" i="7"/>
  <c r="F111" i="7"/>
  <c r="E111" i="7"/>
  <c r="L111" i="7" s="1"/>
  <c r="C111" i="7"/>
  <c r="X110" i="7"/>
  <c r="W110" i="7"/>
  <c r="R110" i="7"/>
  <c r="P110" i="7"/>
  <c r="K110" i="7"/>
  <c r="L110" i="7" s="1"/>
  <c r="W109" i="7"/>
  <c r="X109" i="7" s="1"/>
  <c r="P109" i="7"/>
  <c r="R109" i="7" s="1"/>
  <c r="K109" i="7"/>
  <c r="L109" i="7" s="1"/>
  <c r="W108" i="7"/>
  <c r="X108" i="7" s="1"/>
  <c r="R108" i="7"/>
  <c r="P108" i="7"/>
  <c r="L108" i="7"/>
  <c r="K108" i="7"/>
  <c r="X107" i="7"/>
  <c r="W107" i="7"/>
  <c r="P107" i="7"/>
  <c r="R107" i="7" s="1"/>
  <c r="K107" i="7"/>
  <c r="L107" i="7" s="1"/>
  <c r="W106" i="7"/>
  <c r="X106" i="7" s="1"/>
  <c r="O106" i="7"/>
  <c r="P106" i="7" s="1"/>
  <c r="R106" i="7" s="1"/>
  <c r="K106" i="7"/>
  <c r="L106" i="7" s="1"/>
  <c r="E106" i="7"/>
  <c r="X105" i="7"/>
  <c r="W105" i="7"/>
  <c r="P105" i="7"/>
  <c r="R105" i="7" s="1"/>
  <c r="K105" i="7"/>
  <c r="L105" i="7" s="1"/>
  <c r="P104" i="7"/>
  <c r="R104" i="7" s="1"/>
  <c r="L104" i="7"/>
  <c r="R103" i="7"/>
  <c r="P103" i="7"/>
  <c r="L103" i="7"/>
  <c r="Y102" i="7"/>
  <c r="V102" i="7"/>
  <c r="U102" i="7"/>
  <c r="T102" i="7"/>
  <c r="O102" i="7"/>
  <c r="N102" i="7"/>
  <c r="J102" i="7"/>
  <c r="I102" i="7"/>
  <c r="H102" i="7"/>
  <c r="G102" i="7"/>
  <c r="F102" i="7"/>
  <c r="E102" i="7"/>
  <c r="D102" i="7"/>
  <c r="C102" i="7"/>
  <c r="W101" i="7"/>
  <c r="X101" i="7" s="1"/>
  <c r="P101" i="7"/>
  <c r="R101" i="7" s="1"/>
  <c r="L101" i="7"/>
  <c r="K101" i="7"/>
  <c r="X100" i="7"/>
  <c r="W100" i="7"/>
  <c r="R100" i="7"/>
  <c r="P100" i="7"/>
  <c r="K100" i="7"/>
  <c r="L100" i="7" s="1"/>
  <c r="W99" i="7"/>
  <c r="X99" i="7" s="1"/>
  <c r="P99" i="7"/>
  <c r="R99" i="7" s="1"/>
  <c r="K99" i="7"/>
  <c r="L99" i="7" s="1"/>
  <c r="W98" i="7"/>
  <c r="X98" i="7" s="1"/>
  <c r="R98" i="7"/>
  <c r="P98" i="7"/>
  <c r="L98" i="7"/>
  <c r="K98" i="7"/>
  <c r="X97" i="7"/>
  <c r="X102" i="7" s="1"/>
  <c r="W97" i="7"/>
  <c r="W102" i="7" s="1"/>
  <c r="P97" i="7"/>
  <c r="K97" i="7"/>
  <c r="L97" i="7" s="1"/>
  <c r="E97" i="7"/>
  <c r="R96" i="7"/>
  <c r="P96" i="7"/>
  <c r="L96" i="7"/>
  <c r="P95" i="7"/>
  <c r="R95" i="7" s="1"/>
  <c r="L95" i="7"/>
  <c r="Y94" i="7"/>
  <c r="U94" i="7"/>
  <c r="N94" i="7"/>
  <c r="I94" i="7"/>
  <c r="K92" i="7" s="1"/>
  <c r="G94" i="7"/>
  <c r="F94" i="7"/>
  <c r="E94" i="7"/>
  <c r="V93" i="7"/>
  <c r="W93" i="7" s="1"/>
  <c r="T93" i="7"/>
  <c r="T94" i="7" s="1"/>
  <c r="O93" i="7"/>
  <c r="O94" i="7" s="1"/>
  <c r="J93" i="7"/>
  <c r="J94" i="7" s="1"/>
  <c r="C93" i="7"/>
  <c r="W92" i="7"/>
  <c r="X92" i="7" s="1"/>
  <c r="P92" i="7"/>
  <c r="R92" i="7" s="1"/>
  <c r="L92" i="7"/>
  <c r="X91" i="7"/>
  <c r="W91" i="7"/>
  <c r="P91" i="7"/>
  <c r="R91" i="7" s="1"/>
  <c r="K91" i="7"/>
  <c r="L91" i="7" s="1"/>
  <c r="W90" i="7"/>
  <c r="X90" i="7" s="1"/>
  <c r="P90" i="7"/>
  <c r="R90" i="7" s="1"/>
  <c r="L90" i="7"/>
  <c r="K90" i="7"/>
  <c r="X89" i="7"/>
  <c r="W89" i="7"/>
  <c r="R89" i="7"/>
  <c r="P89" i="7"/>
  <c r="K89" i="7"/>
  <c r="L89" i="7" s="1"/>
  <c r="W88" i="7"/>
  <c r="X88" i="7" s="1"/>
  <c r="P88" i="7"/>
  <c r="R88" i="7" s="1"/>
  <c r="K88" i="7"/>
  <c r="L88" i="7" s="1"/>
  <c r="W87" i="7"/>
  <c r="X87" i="7" s="1"/>
  <c r="R87" i="7"/>
  <c r="P87" i="7"/>
  <c r="L87" i="7"/>
  <c r="K87" i="7"/>
  <c r="X86" i="7"/>
  <c r="W86" i="7"/>
  <c r="P86" i="7"/>
  <c r="R86" i="7" s="1"/>
  <c r="K86" i="7"/>
  <c r="L86" i="7" s="1"/>
  <c r="W85" i="7"/>
  <c r="X85" i="7" s="1"/>
  <c r="P85" i="7"/>
  <c r="R85" i="7" s="1"/>
  <c r="L85" i="7"/>
  <c r="K85" i="7"/>
  <c r="C85" i="7"/>
  <c r="W84" i="7"/>
  <c r="X84" i="7" s="1"/>
  <c r="P84" i="7"/>
  <c r="R84" i="7" s="1"/>
  <c r="L84" i="7"/>
  <c r="K84" i="7"/>
  <c r="P83" i="7"/>
  <c r="R83" i="7" s="1"/>
  <c r="L83" i="7"/>
  <c r="K83" i="7"/>
  <c r="C83" i="7"/>
  <c r="W82" i="7"/>
  <c r="X82" i="7" s="1"/>
  <c r="P82" i="7"/>
  <c r="R82" i="7" s="1"/>
  <c r="L82" i="7"/>
  <c r="K82" i="7"/>
  <c r="C82" i="7"/>
  <c r="W81" i="7"/>
  <c r="X81" i="7" s="1"/>
  <c r="P81" i="7"/>
  <c r="R81" i="7" s="1"/>
  <c r="L81" i="7"/>
  <c r="K81" i="7"/>
  <c r="C81" i="7"/>
  <c r="C94" i="7" s="1"/>
  <c r="P80" i="7"/>
  <c r="R80" i="7" s="1"/>
  <c r="P79" i="7"/>
  <c r="R79" i="7" s="1"/>
  <c r="Y78" i="7"/>
  <c r="U78" i="7"/>
  <c r="N78" i="7"/>
  <c r="I78" i="7"/>
  <c r="G78" i="7"/>
  <c r="E78" i="7"/>
  <c r="C78" i="7"/>
  <c r="V77" i="7"/>
  <c r="W77" i="7" s="1"/>
  <c r="T77" i="7"/>
  <c r="J77" i="7"/>
  <c r="J78" i="7" s="1"/>
  <c r="C77" i="7"/>
  <c r="W76" i="7"/>
  <c r="X76" i="7" s="1"/>
  <c r="P76" i="7"/>
  <c r="R76" i="7" s="1"/>
  <c r="K76" i="7"/>
  <c r="L76" i="7" s="1"/>
  <c r="X75" i="7"/>
  <c r="W75" i="7"/>
  <c r="P75" i="7"/>
  <c r="R75" i="7" s="1"/>
  <c r="K75" i="7"/>
  <c r="L75" i="7" s="1"/>
  <c r="W74" i="7"/>
  <c r="X74" i="7" s="1"/>
  <c r="P74" i="7"/>
  <c r="R74" i="7" s="1"/>
  <c r="L74" i="7"/>
  <c r="K74" i="7"/>
  <c r="W73" i="7"/>
  <c r="X73" i="7" s="1"/>
  <c r="R73" i="7"/>
  <c r="P73" i="7"/>
  <c r="K73" i="7"/>
  <c r="X72" i="7"/>
  <c r="W72" i="7"/>
  <c r="P72" i="7"/>
  <c r="R72" i="7" s="1"/>
  <c r="K72" i="7"/>
  <c r="L72" i="7" s="1"/>
  <c r="W71" i="7"/>
  <c r="P71" i="7"/>
  <c r="R71" i="7" s="1"/>
  <c r="L71" i="7"/>
  <c r="K71" i="7"/>
  <c r="R70" i="7"/>
  <c r="P70" i="7"/>
  <c r="L70" i="7"/>
  <c r="P69" i="7"/>
  <c r="R69" i="7" s="1"/>
  <c r="Y68" i="7"/>
  <c r="U68" i="7"/>
  <c r="N68" i="7"/>
  <c r="J68" i="7"/>
  <c r="I68" i="7"/>
  <c r="G68" i="7"/>
  <c r="F68" i="7"/>
  <c r="W67" i="7"/>
  <c r="X67" i="7" s="1"/>
  <c r="P67" i="7"/>
  <c r="R67" i="7" s="1"/>
  <c r="K67" i="7"/>
  <c r="P66" i="7"/>
  <c r="R66" i="7" s="1"/>
  <c r="K66" i="7"/>
  <c r="V65" i="7"/>
  <c r="W65" i="7" s="1"/>
  <c r="K65" i="7"/>
  <c r="C65" i="7"/>
  <c r="C68" i="7" s="1"/>
  <c r="X64" i="7"/>
  <c r="R64" i="7"/>
  <c r="P64" i="7"/>
  <c r="K64" i="7"/>
  <c r="W63" i="7"/>
  <c r="X63" i="7" s="1"/>
  <c r="P63" i="7"/>
  <c r="R63" i="7" s="1"/>
  <c r="K63" i="7"/>
  <c r="K68" i="7" s="1"/>
  <c r="W62" i="7"/>
  <c r="X62" i="7" s="1"/>
  <c r="P62" i="7"/>
  <c r="R62" i="7" s="1"/>
  <c r="K62" i="7"/>
  <c r="X61" i="7"/>
  <c r="W61" i="7"/>
  <c r="P61" i="7"/>
  <c r="K61" i="7"/>
  <c r="P60" i="7"/>
  <c r="R60" i="7" s="1"/>
  <c r="P59" i="7"/>
  <c r="R59" i="7" s="1"/>
  <c r="Y58" i="7"/>
  <c r="U58" i="7"/>
  <c r="N58" i="7"/>
  <c r="I58" i="7"/>
  <c r="G58" i="7"/>
  <c r="W57" i="7"/>
  <c r="X57" i="7" s="1"/>
  <c r="R57" i="7"/>
  <c r="L57" i="7"/>
  <c r="V56" i="7"/>
  <c r="V58" i="7" s="1"/>
  <c r="T56" i="7"/>
  <c r="O56" i="7"/>
  <c r="P56" i="7" s="1"/>
  <c r="R56" i="7" s="1"/>
  <c r="J56" i="7"/>
  <c r="K56" i="7" s="1"/>
  <c r="L56" i="7" s="1"/>
  <c r="C56" i="7"/>
  <c r="C58" i="7" s="1"/>
  <c r="W55" i="7"/>
  <c r="X55" i="7" s="1"/>
  <c r="R55" i="7"/>
  <c r="P55" i="7"/>
  <c r="K55" i="7"/>
  <c r="L55" i="7" s="1"/>
  <c r="X54" i="7"/>
  <c r="W54" i="7"/>
  <c r="O54" i="7"/>
  <c r="O58" i="7" s="1"/>
  <c r="J54" i="7"/>
  <c r="K54" i="7" s="1"/>
  <c r="L54" i="7" s="1"/>
  <c r="X53" i="7"/>
  <c r="W53" i="7"/>
  <c r="R53" i="7"/>
  <c r="P53" i="7"/>
  <c r="K53" i="7"/>
  <c r="L53" i="7" s="1"/>
  <c r="X52" i="7"/>
  <c r="W52" i="7"/>
  <c r="R52" i="7"/>
  <c r="P52" i="7"/>
  <c r="L52" i="7"/>
  <c r="K52" i="7"/>
  <c r="E52" i="7"/>
  <c r="E58" i="7" s="1"/>
  <c r="R51" i="7"/>
  <c r="P51" i="7"/>
  <c r="P50" i="7"/>
  <c r="R50" i="7" s="1"/>
  <c r="P49" i="7"/>
  <c r="R49" i="7" s="1"/>
  <c r="P48" i="7"/>
  <c r="R48" i="7" s="1"/>
  <c r="Y47" i="7"/>
  <c r="V47" i="7"/>
  <c r="U47" i="7"/>
  <c r="T47" i="7"/>
  <c r="O47" i="7"/>
  <c r="N47" i="7"/>
  <c r="J47" i="7"/>
  <c r="I47" i="7"/>
  <c r="G47" i="7"/>
  <c r="F47" i="7"/>
  <c r="E47" i="7"/>
  <c r="X46" i="7"/>
  <c r="W46" i="7"/>
  <c r="P46" i="7"/>
  <c r="R46" i="7" s="1"/>
  <c r="K46" i="7"/>
  <c r="L46" i="7" s="1"/>
  <c r="W45" i="7"/>
  <c r="X45" i="7" s="1"/>
  <c r="P45" i="7"/>
  <c r="R45" i="7" s="1"/>
  <c r="L45" i="7"/>
  <c r="K45" i="7"/>
  <c r="C45" i="7"/>
  <c r="W44" i="7"/>
  <c r="P44" i="7"/>
  <c r="P47" i="7" s="1"/>
  <c r="R47" i="7" s="1"/>
  <c r="L44" i="7"/>
  <c r="K44" i="7"/>
  <c r="C44" i="7"/>
  <c r="C47" i="7" s="1"/>
  <c r="P43" i="7"/>
  <c r="R43" i="7" s="1"/>
  <c r="P42" i="7"/>
  <c r="R42" i="7" s="1"/>
  <c r="P41" i="7"/>
  <c r="R41" i="7" s="1"/>
  <c r="J40" i="7"/>
  <c r="H40" i="7"/>
  <c r="E40" i="7"/>
  <c r="A40" i="7"/>
  <c r="A41" i="7" s="1"/>
  <c r="A42" i="7" s="1"/>
  <c r="A44" i="7" s="1"/>
  <c r="A45" i="7" s="1"/>
  <c r="A46" i="7" s="1"/>
  <c r="A47" i="7" s="1"/>
  <c r="A48" i="7" s="1"/>
  <c r="A49" i="7" s="1"/>
  <c r="A50" i="7" s="1"/>
  <c r="A51" i="7" s="1"/>
  <c r="A52" i="7" s="1"/>
  <c r="A55" i="7" s="1"/>
  <c r="A56" i="7" s="1"/>
  <c r="A54" i="7" s="1"/>
  <c r="A57" i="7" s="1"/>
  <c r="A58" i="7" s="1"/>
  <c r="A59" i="7" s="1"/>
  <c r="A60" i="7" s="1"/>
  <c r="A61" i="7" s="1"/>
  <c r="A62" i="7" s="1"/>
  <c r="A63" i="7" s="1"/>
  <c r="A64" i="7" s="1"/>
  <c r="A65" i="7" s="1"/>
  <c r="A67" i="7" s="1"/>
  <c r="A68" i="7" s="1"/>
  <c r="A69" i="7" s="1"/>
  <c r="A70" i="7" s="1"/>
  <c r="A71" i="7" s="1"/>
  <c r="A72" i="7" s="1"/>
  <c r="A73" i="7" s="1"/>
  <c r="A74" i="7" s="1"/>
  <c r="A75" i="7" s="1"/>
  <c r="A77" i="7" s="1"/>
  <c r="A78" i="7" s="1"/>
  <c r="A79" i="7" s="1"/>
  <c r="A80" i="7" s="1"/>
  <c r="A81" i="7" s="1"/>
  <c r="A82" i="7" s="1"/>
  <c r="A83" i="7" s="1"/>
  <c r="A84" i="7" s="1"/>
  <c r="A85" i="7" s="1"/>
  <c r="A86" i="7" s="1"/>
  <c r="A87" i="7" s="1"/>
  <c r="A88" i="7" s="1"/>
  <c r="A89" i="7" s="1"/>
  <c r="A90" i="7" s="1"/>
  <c r="A91"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7" i="8" s="1"/>
  <c r="Y39" i="7"/>
  <c r="V39" i="7"/>
  <c r="V40" i="7" s="1"/>
  <c r="U39" i="7"/>
  <c r="U40" i="7" s="1"/>
  <c r="T39" i="7"/>
  <c r="T40" i="7" s="1"/>
  <c r="O39" i="7"/>
  <c r="N39" i="7"/>
  <c r="N40" i="7" s="1"/>
  <c r="J39" i="7"/>
  <c r="I39" i="7"/>
  <c r="H39" i="7"/>
  <c r="G39" i="7"/>
  <c r="G40" i="7" s="1"/>
  <c r="F39" i="7"/>
  <c r="F40" i="7" s="1"/>
  <c r="E39" i="7"/>
  <c r="D39" i="7"/>
  <c r="C39" i="7"/>
  <c r="C40" i="7" s="1"/>
  <c r="W38" i="7"/>
  <c r="X38" i="7" s="1"/>
  <c r="R38" i="7"/>
  <c r="P38" i="7"/>
  <c r="L38" i="7"/>
  <c r="K38" i="7"/>
  <c r="X37" i="7"/>
  <c r="W37" i="7"/>
  <c r="P37" i="7"/>
  <c r="R37" i="7" s="1"/>
  <c r="K37" i="7"/>
  <c r="L37" i="7" s="1"/>
  <c r="W36" i="7"/>
  <c r="X36" i="7" s="1"/>
  <c r="P36" i="7"/>
  <c r="R36" i="7" s="1"/>
  <c r="L36" i="7"/>
  <c r="K36" i="7"/>
  <c r="W35" i="7"/>
  <c r="X35" i="7" s="1"/>
  <c r="R35" i="7"/>
  <c r="P35" i="7"/>
  <c r="K35" i="7"/>
  <c r="L35" i="7" s="1"/>
  <c r="X34" i="7"/>
  <c r="W34" i="7"/>
  <c r="P34" i="7"/>
  <c r="R34" i="7" s="1"/>
  <c r="K34" i="7"/>
  <c r="L34" i="7" s="1"/>
  <c r="A34" i="7"/>
  <c r="A35" i="7" s="1"/>
  <c r="A36" i="7" s="1"/>
  <c r="A37" i="7" s="1"/>
  <c r="A38" i="7" s="1"/>
  <c r="A39" i="7" s="1"/>
  <c r="W33" i="7"/>
  <c r="P33" i="7"/>
  <c r="R33" i="7" s="1"/>
  <c r="L33" i="7"/>
  <c r="K33" i="7"/>
  <c r="K39" i="7" s="1"/>
  <c r="R32" i="7"/>
  <c r="P32" i="7"/>
  <c r="L32" i="7"/>
  <c r="P31" i="7"/>
  <c r="R31" i="7" s="1"/>
  <c r="L31" i="7"/>
  <c r="Y30" i="7"/>
  <c r="V30" i="7"/>
  <c r="U30" i="7"/>
  <c r="T30" i="7"/>
  <c r="O30" i="7"/>
  <c r="N30" i="7"/>
  <c r="J30" i="7"/>
  <c r="I30" i="7"/>
  <c r="H30" i="7"/>
  <c r="G30" i="7"/>
  <c r="F30" i="7"/>
  <c r="E30" i="7"/>
  <c r="D30" i="7"/>
  <c r="C30" i="7"/>
  <c r="X29" i="7"/>
  <c r="W29" i="7"/>
  <c r="P29" i="7"/>
  <c r="R29" i="7" s="1"/>
  <c r="K29" i="7"/>
  <c r="L29" i="7" s="1"/>
  <c r="W28" i="7"/>
  <c r="X28" i="7" s="1"/>
  <c r="P28" i="7"/>
  <c r="R28" i="7" s="1"/>
  <c r="L28" i="7"/>
  <c r="K28" i="7"/>
  <c r="A28" i="7"/>
  <c r="A29" i="7" s="1"/>
  <c r="A30" i="7" s="1"/>
  <c r="A31" i="7" s="1"/>
  <c r="A32" i="7" s="1"/>
  <c r="A33" i="7" s="1"/>
  <c r="W27" i="7"/>
  <c r="X27" i="7" s="1"/>
  <c r="R27" i="7"/>
  <c r="P27" i="7"/>
  <c r="K27" i="7"/>
  <c r="L27" i="7" s="1"/>
  <c r="A27" i="7"/>
  <c r="X26" i="7"/>
  <c r="W26" i="7"/>
  <c r="P26" i="7"/>
  <c r="R26" i="7" s="1"/>
  <c r="K26" i="7"/>
  <c r="L26" i="7" s="1"/>
  <c r="X25" i="7"/>
  <c r="W25" i="7"/>
  <c r="R25" i="7"/>
  <c r="P25" i="7"/>
  <c r="K25" i="7"/>
  <c r="L25" i="7" s="1"/>
  <c r="W24" i="7"/>
  <c r="X24" i="7" s="1"/>
  <c r="R24" i="7"/>
  <c r="P24" i="7"/>
  <c r="L24" i="7"/>
  <c r="K24" i="7"/>
  <c r="X23" i="7"/>
  <c r="W23" i="7"/>
  <c r="P23" i="7"/>
  <c r="R23" i="7" s="1"/>
  <c r="K23" i="7"/>
  <c r="L23" i="7" s="1"/>
  <c r="W22" i="7"/>
  <c r="X22" i="7" s="1"/>
  <c r="P22" i="7"/>
  <c r="R22" i="7" s="1"/>
  <c r="L22" i="7"/>
  <c r="K22" i="7"/>
  <c r="W21" i="7"/>
  <c r="X21" i="7" s="1"/>
  <c r="R21" i="7"/>
  <c r="P21" i="7"/>
  <c r="K21" i="7"/>
  <c r="L21" i="7" s="1"/>
  <c r="X20" i="7"/>
  <c r="W20" i="7"/>
  <c r="P20" i="7"/>
  <c r="R20" i="7" s="1"/>
  <c r="K20" i="7"/>
  <c r="L20" i="7" s="1"/>
  <c r="W19" i="7"/>
  <c r="X19" i="7" s="1"/>
  <c r="P19" i="7"/>
  <c r="R19" i="7" s="1"/>
  <c r="L19" i="7"/>
  <c r="K19" i="7"/>
  <c r="X18" i="7"/>
  <c r="W18" i="7"/>
  <c r="R18" i="7"/>
  <c r="P18" i="7"/>
  <c r="K18" i="7"/>
  <c r="L18" i="7" s="1"/>
  <c r="W17" i="7"/>
  <c r="X17" i="7" s="1"/>
  <c r="P17" i="7"/>
  <c r="R17" i="7" s="1"/>
  <c r="K17" i="7"/>
  <c r="L17" i="7" s="1"/>
  <c r="W16" i="7"/>
  <c r="X16" i="7" s="1"/>
  <c r="R16" i="7"/>
  <c r="P16" i="7"/>
  <c r="L16" i="7"/>
  <c r="K16" i="7"/>
  <c r="R15" i="7"/>
  <c r="P15" i="7"/>
  <c r="R14" i="7"/>
  <c r="P14" i="7"/>
  <c r="Y13" i="7"/>
  <c r="U13" i="7"/>
  <c r="O13" i="7"/>
  <c r="N13" i="7"/>
  <c r="I13" i="7"/>
  <c r="E13" i="7"/>
  <c r="D13" i="7"/>
  <c r="T12" i="7"/>
  <c r="T13" i="7" s="1"/>
  <c r="R12" i="7"/>
  <c r="P12" i="7"/>
  <c r="J12" i="7"/>
  <c r="K12" i="7" s="1"/>
  <c r="E12" i="7"/>
  <c r="C12" i="7"/>
  <c r="X11" i="7"/>
  <c r="W11" i="7"/>
  <c r="R11" i="7"/>
  <c r="P11" i="7"/>
  <c r="L11" i="7"/>
  <c r="K11" i="7"/>
  <c r="X10" i="7"/>
  <c r="W10" i="7"/>
  <c r="R10" i="7"/>
  <c r="P10" i="7"/>
  <c r="L10" i="7"/>
  <c r="K10" i="7"/>
  <c r="W9" i="7"/>
  <c r="X9" i="7" s="1"/>
  <c r="P9" i="7"/>
  <c r="R9" i="7" s="1"/>
  <c r="K9" i="7"/>
  <c r="E9" i="7"/>
  <c r="L9" i="7" s="1"/>
  <c r="W8" i="7"/>
  <c r="X8" i="7" s="1"/>
  <c r="P8" i="7"/>
  <c r="R8" i="7" s="1"/>
  <c r="K8" i="7"/>
  <c r="L8" i="7" s="1"/>
  <c r="C8" i="7"/>
  <c r="W7" i="7"/>
  <c r="P7" i="7"/>
  <c r="R7" i="7" s="1"/>
  <c r="K7" i="7"/>
  <c r="K13" i="7" s="1"/>
  <c r="P208" i="6"/>
  <c r="R208" i="6" s="1"/>
  <c r="O207" i="6"/>
  <c r="N207" i="6"/>
  <c r="J207" i="6"/>
  <c r="I207" i="6"/>
  <c r="G207" i="6"/>
  <c r="L207" i="6" s="1"/>
  <c r="F207" i="6"/>
  <c r="C207" i="6"/>
  <c r="W206" i="6"/>
  <c r="X206" i="6" s="1"/>
  <c r="P206" i="6"/>
  <c r="R206" i="6" s="1"/>
  <c r="R205" i="6"/>
  <c r="P205" i="6"/>
  <c r="P204" i="6"/>
  <c r="R204" i="6" s="1"/>
  <c r="T203" i="6"/>
  <c r="I203" i="6"/>
  <c r="W202" i="6"/>
  <c r="X202" i="6" s="1"/>
  <c r="P202" i="6"/>
  <c r="R202" i="6" s="1"/>
  <c r="L202" i="6"/>
  <c r="J202" i="6"/>
  <c r="F202" i="6"/>
  <c r="W201" i="6"/>
  <c r="X201" i="6" s="1"/>
  <c r="P201" i="6"/>
  <c r="R201" i="6" s="1"/>
  <c r="K201" i="6"/>
  <c r="G201" i="6"/>
  <c r="L201" i="6" s="1"/>
  <c r="P200" i="6"/>
  <c r="R200" i="6" s="1"/>
  <c r="V199" i="6"/>
  <c r="U199" i="6"/>
  <c r="T199" i="6"/>
  <c r="P199" i="6"/>
  <c r="O199" i="6"/>
  <c r="O203" i="6" s="1"/>
  <c r="N199" i="6"/>
  <c r="J199" i="6"/>
  <c r="I199" i="6"/>
  <c r="G199" i="6"/>
  <c r="F199" i="6"/>
  <c r="E199" i="6"/>
  <c r="E203" i="6" s="1"/>
  <c r="C199" i="6"/>
  <c r="C203" i="6" s="1"/>
  <c r="X198" i="6"/>
  <c r="W198" i="6"/>
  <c r="R198" i="6"/>
  <c r="P198" i="6"/>
  <c r="L198" i="6"/>
  <c r="K198" i="6"/>
  <c r="W197" i="6"/>
  <c r="X197" i="6" s="1"/>
  <c r="P197" i="6"/>
  <c r="R197" i="6" s="1"/>
  <c r="K197" i="6"/>
  <c r="L197" i="6" s="1"/>
  <c r="X196" i="6"/>
  <c r="W196" i="6"/>
  <c r="R196" i="6"/>
  <c r="P196" i="6"/>
  <c r="L196" i="6"/>
  <c r="K196" i="6"/>
  <c r="A196" i="6"/>
  <c r="A197" i="6" s="1"/>
  <c r="A198" i="6" s="1"/>
  <c r="A199" i="6" s="1"/>
  <c r="A200" i="6" s="1"/>
  <c r="A201" i="6" s="1"/>
  <c r="A202" i="6" s="1"/>
  <c r="A203" i="6" s="1"/>
  <c r="A204" i="6" s="1"/>
  <c r="A205" i="6" s="1"/>
  <c r="A206" i="6" s="1"/>
  <c r="A207" i="6" s="1"/>
  <c r="A208" i="6" s="1"/>
  <c r="A209" i="6" s="1"/>
  <c r="A6" i="7" s="1"/>
  <c r="A7" i="7" s="1"/>
  <c r="A8" i="7" s="1"/>
  <c r="A9" i="7" s="1"/>
  <c r="A10" i="7" s="1"/>
  <c r="A12" i="7" s="1"/>
  <c r="A13" i="7" s="1"/>
  <c r="A14" i="7" s="1"/>
  <c r="A15" i="7" s="1"/>
  <c r="A16" i="7" s="1"/>
  <c r="A17" i="7" s="1"/>
  <c r="A18" i="7" s="1"/>
  <c r="A19" i="7" s="1"/>
  <c r="A20" i="7" s="1"/>
  <c r="A21" i="7" s="1"/>
  <c r="A22" i="7" s="1"/>
  <c r="A23" i="7" s="1"/>
  <c r="A24" i="7" s="1"/>
  <c r="X195" i="6"/>
  <c r="W195" i="6"/>
  <c r="P195" i="6"/>
  <c r="R195" i="6" s="1"/>
  <c r="K195" i="6"/>
  <c r="L195" i="6" s="1"/>
  <c r="X194" i="6"/>
  <c r="R194" i="6"/>
  <c r="P194" i="6"/>
  <c r="K194" i="6"/>
  <c r="L194" i="6" s="1"/>
  <c r="X193" i="6"/>
  <c r="W193" i="6"/>
  <c r="R193" i="6"/>
  <c r="L193" i="6"/>
  <c r="K193" i="6"/>
  <c r="X192" i="6"/>
  <c r="W192" i="6"/>
  <c r="R192" i="6"/>
  <c r="P192" i="6"/>
  <c r="L192" i="6"/>
  <c r="K192" i="6"/>
  <c r="W191" i="6"/>
  <c r="X191" i="6" s="1"/>
  <c r="P191" i="6"/>
  <c r="R191" i="6" s="1"/>
  <c r="L191" i="6"/>
  <c r="X190" i="6"/>
  <c r="W190" i="6"/>
  <c r="P190" i="6"/>
  <c r="R190" i="6" s="1"/>
  <c r="L190" i="6"/>
  <c r="W189" i="6"/>
  <c r="R189" i="6"/>
  <c r="P189" i="6"/>
  <c r="L189" i="6"/>
  <c r="P188" i="6"/>
  <c r="R188" i="6" s="1"/>
  <c r="X187" i="6"/>
  <c r="V187" i="6"/>
  <c r="V203" i="6" s="1"/>
  <c r="U187" i="6"/>
  <c r="T187" i="6"/>
  <c r="P187" i="6"/>
  <c r="R187" i="6" s="1"/>
  <c r="O187" i="6"/>
  <c r="N187" i="6"/>
  <c r="N203" i="6" s="1"/>
  <c r="J187" i="6"/>
  <c r="I187" i="6"/>
  <c r="F187" i="6"/>
  <c r="E187" i="6"/>
  <c r="C187" i="6"/>
  <c r="X186" i="6"/>
  <c r="W186" i="6"/>
  <c r="R186" i="6"/>
  <c r="P186" i="6"/>
  <c r="K186" i="6"/>
  <c r="G186" i="6"/>
  <c r="L186" i="6" s="1"/>
  <c r="X185" i="6"/>
  <c r="W185" i="6"/>
  <c r="R185" i="6"/>
  <c r="P185" i="6"/>
  <c r="K185" i="6"/>
  <c r="G185" i="6"/>
  <c r="L185" i="6" s="1"/>
  <c r="X184" i="6"/>
  <c r="W184" i="6"/>
  <c r="R184" i="6"/>
  <c r="P184" i="6"/>
  <c r="K184" i="6"/>
  <c r="G184" i="6"/>
  <c r="L184" i="6" s="1"/>
  <c r="X183" i="6"/>
  <c r="W183" i="6"/>
  <c r="W187" i="6" s="1"/>
  <c r="R183" i="6"/>
  <c r="P183" i="6"/>
  <c r="K183" i="6"/>
  <c r="K187" i="6" s="1"/>
  <c r="G183" i="6"/>
  <c r="R182" i="6"/>
  <c r="P182" i="6"/>
  <c r="L182" i="6"/>
  <c r="Y181" i="6"/>
  <c r="W181" i="6"/>
  <c r="V181" i="6"/>
  <c r="U181" i="6"/>
  <c r="T181" i="6"/>
  <c r="O181" i="6"/>
  <c r="N181" i="6"/>
  <c r="J181" i="6"/>
  <c r="I181" i="6"/>
  <c r="G181" i="6"/>
  <c r="F181" i="6"/>
  <c r="E181" i="6"/>
  <c r="C181" i="6"/>
  <c r="X180" i="6"/>
  <c r="W180" i="6"/>
  <c r="P180" i="6"/>
  <c r="R180" i="6" s="1"/>
  <c r="K180" i="6"/>
  <c r="L180" i="6" s="1"/>
  <c r="G180" i="6"/>
  <c r="X179" i="6"/>
  <c r="X181" i="6" s="1"/>
  <c r="W179" i="6"/>
  <c r="P179" i="6"/>
  <c r="R179" i="6" s="1"/>
  <c r="K179" i="6"/>
  <c r="K181" i="6" s="1"/>
  <c r="L181" i="6" s="1"/>
  <c r="G179" i="6"/>
  <c r="R178" i="6"/>
  <c r="P178" i="6"/>
  <c r="Y177" i="6"/>
  <c r="W177" i="6"/>
  <c r="V177" i="6"/>
  <c r="U177" i="6"/>
  <c r="T177" i="6"/>
  <c r="O177" i="6"/>
  <c r="N177" i="6"/>
  <c r="J177" i="6"/>
  <c r="I177" i="6"/>
  <c r="H177" i="6"/>
  <c r="F177" i="6"/>
  <c r="E177" i="6"/>
  <c r="D177" i="6"/>
  <c r="D203" i="6" s="1"/>
  <c r="C177" i="6"/>
  <c r="X176" i="6"/>
  <c r="W176" i="6"/>
  <c r="P176" i="6"/>
  <c r="R176" i="6" s="1"/>
  <c r="K176" i="6"/>
  <c r="L176" i="6" s="1"/>
  <c r="G176" i="6"/>
  <c r="X175" i="6"/>
  <c r="W175" i="6"/>
  <c r="P175" i="6"/>
  <c r="R175" i="6" s="1"/>
  <c r="K175" i="6"/>
  <c r="L175" i="6" s="1"/>
  <c r="G175" i="6"/>
  <c r="G177" i="6" s="1"/>
  <c r="X174" i="6"/>
  <c r="X177" i="6" s="1"/>
  <c r="W174" i="6"/>
  <c r="P174" i="6"/>
  <c r="P177" i="6" s="1"/>
  <c r="R177" i="6" s="1"/>
  <c r="K174" i="6"/>
  <c r="L174" i="6" s="1"/>
  <c r="P173" i="6"/>
  <c r="R173" i="6" s="1"/>
  <c r="R172" i="6"/>
  <c r="P172" i="6"/>
  <c r="P171" i="6"/>
  <c r="R171" i="6" s="1"/>
  <c r="Y170" i="6"/>
  <c r="U170" i="6"/>
  <c r="N170" i="6"/>
  <c r="I170" i="6"/>
  <c r="H170" i="6"/>
  <c r="E170" i="6"/>
  <c r="D170" i="6"/>
  <c r="V169" i="6"/>
  <c r="V170" i="6" s="1"/>
  <c r="J169" i="6"/>
  <c r="J170" i="6" s="1"/>
  <c r="C169" i="6"/>
  <c r="C170" i="6" s="1"/>
  <c r="X168" i="6"/>
  <c r="W168" i="6"/>
  <c r="P168" i="6"/>
  <c r="R168" i="6" s="1"/>
  <c r="X167" i="6"/>
  <c r="W167" i="6"/>
  <c r="R167" i="6"/>
  <c r="P167" i="6"/>
  <c r="K167" i="6"/>
  <c r="W166" i="6"/>
  <c r="X166" i="6" s="1"/>
  <c r="R166" i="6"/>
  <c r="P166" i="6"/>
  <c r="K166" i="6"/>
  <c r="X165" i="6"/>
  <c r="W165" i="6"/>
  <c r="P165" i="6"/>
  <c r="R165" i="6" s="1"/>
  <c r="K165" i="6"/>
  <c r="R164" i="6"/>
  <c r="P164" i="6"/>
  <c r="P163" i="6"/>
  <c r="R163" i="6" s="1"/>
  <c r="Y162" i="6"/>
  <c r="Y209" i="6" s="1"/>
  <c r="U162" i="6"/>
  <c r="N162" i="6"/>
  <c r="I162" i="6"/>
  <c r="H162" i="6"/>
  <c r="G162" i="6"/>
  <c r="E162" i="6"/>
  <c r="D162" i="6"/>
  <c r="V161" i="6"/>
  <c r="V162" i="6" s="1"/>
  <c r="T161" i="6"/>
  <c r="T162" i="6" s="1"/>
  <c r="O161" i="6"/>
  <c r="O162" i="6" s="1"/>
  <c r="J161" i="6"/>
  <c r="J162" i="6" s="1"/>
  <c r="C161" i="6"/>
  <c r="C162" i="6" s="1"/>
  <c r="W160" i="6"/>
  <c r="X160" i="6" s="1"/>
  <c r="R160" i="6"/>
  <c r="K160" i="6"/>
  <c r="X159" i="6"/>
  <c r="W159" i="6"/>
  <c r="R159" i="6"/>
  <c r="P159" i="6"/>
  <c r="K159" i="6"/>
  <c r="A159" i="6"/>
  <c r="A161" i="6" s="1"/>
  <c r="A162" i="6" s="1"/>
  <c r="A163" i="6" s="1"/>
  <c r="A164" i="6" s="1"/>
  <c r="A165" i="6" s="1"/>
  <c r="A166" i="6" s="1"/>
  <c r="A167" i="6" s="1"/>
  <c r="A169" i="6" s="1"/>
  <c r="A170" i="6" s="1"/>
  <c r="A171" i="6" s="1"/>
  <c r="A172"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X158" i="6"/>
  <c r="W158" i="6"/>
  <c r="R158" i="6"/>
  <c r="P158" i="6"/>
  <c r="K158" i="6"/>
  <c r="A158" i="6"/>
  <c r="W157" i="6"/>
  <c r="X157" i="6" s="1"/>
  <c r="R157" i="6"/>
  <c r="P157" i="6"/>
  <c r="K157" i="6"/>
  <c r="W156" i="6"/>
  <c r="X156" i="6" s="1"/>
  <c r="R156" i="6"/>
  <c r="P156" i="6"/>
  <c r="K156" i="6"/>
  <c r="X155" i="6"/>
  <c r="W155" i="6"/>
  <c r="R155" i="6"/>
  <c r="P155" i="6"/>
  <c r="L155" i="6"/>
  <c r="K155" i="6"/>
  <c r="W154" i="6"/>
  <c r="X154" i="6" s="1"/>
  <c r="R154" i="6"/>
  <c r="P154" i="6"/>
  <c r="K154" i="6"/>
  <c r="W153" i="6"/>
  <c r="X153" i="6" s="1"/>
  <c r="R153" i="6"/>
  <c r="P153" i="6"/>
  <c r="K153" i="6"/>
  <c r="A153" i="6"/>
  <c r="W152" i="6"/>
  <c r="X152" i="6" s="1"/>
  <c r="P152" i="6"/>
  <c r="R152" i="6" s="1"/>
  <c r="K152" i="6"/>
  <c r="A152" i="6"/>
  <c r="X151" i="6"/>
  <c r="W151" i="6"/>
  <c r="P151" i="6"/>
  <c r="R151" i="6" s="1"/>
  <c r="K151" i="6"/>
  <c r="X150" i="6"/>
  <c r="W150" i="6"/>
  <c r="P150" i="6"/>
  <c r="R150" i="6" s="1"/>
  <c r="K150" i="6"/>
  <c r="W149" i="6"/>
  <c r="X149" i="6" s="1"/>
  <c r="P149" i="6"/>
  <c r="R149" i="6" s="1"/>
  <c r="K149" i="6"/>
  <c r="W148" i="6"/>
  <c r="X148" i="6" s="1"/>
  <c r="R148" i="6"/>
  <c r="P148" i="6"/>
  <c r="W147" i="6"/>
  <c r="X147" i="6" s="1"/>
  <c r="R147" i="6"/>
  <c r="P147" i="6"/>
  <c r="R146" i="6"/>
  <c r="P146" i="6"/>
  <c r="P145" i="6"/>
  <c r="R145" i="6" s="1"/>
  <c r="W143" i="6"/>
  <c r="X143" i="6" s="1"/>
  <c r="P143" i="6"/>
  <c r="R143" i="6" s="1"/>
  <c r="J142" i="6"/>
  <c r="P141" i="6"/>
  <c r="R141" i="6" s="1"/>
  <c r="Y140" i="6"/>
  <c r="W140" i="6"/>
  <c r="V140" i="6"/>
  <c r="U140" i="6"/>
  <c r="T140" i="6"/>
  <c r="O140" i="6"/>
  <c r="N140" i="6"/>
  <c r="L140" i="6"/>
  <c r="J140" i="6"/>
  <c r="I140" i="6"/>
  <c r="I144" i="6" s="1"/>
  <c r="H140" i="6"/>
  <c r="F140" i="6"/>
  <c r="D140" i="6"/>
  <c r="D144" i="6" s="1"/>
  <c r="D209" i="6" s="1"/>
  <c r="C140" i="6"/>
  <c r="C144" i="6" s="1"/>
  <c r="W139" i="6"/>
  <c r="X139" i="6" s="1"/>
  <c r="P139" i="6"/>
  <c r="R139" i="6" s="1"/>
  <c r="K139" i="6"/>
  <c r="X138" i="6"/>
  <c r="W138" i="6"/>
  <c r="P138" i="6"/>
  <c r="R138" i="6" s="1"/>
  <c r="K138" i="6"/>
  <c r="X137" i="6"/>
  <c r="W137" i="6"/>
  <c r="R137" i="6"/>
  <c r="P137" i="6"/>
  <c r="K137" i="6"/>
  <c r="W136" i="6"/>
  <c r="X136" i="6" s="1"/>
  <c r="R136" i="6"/>
  <c r="P136" i="6"/>
  <c r="K136" i="6"/>
  <c r="W135" i="6"/>
  <c r="X135" i="6" s="1"/>
  <c r="P135" i="6"/>
  <c r="R135" i="6" s="1"/>
  <c r="K135" i="6"/>
  <c r="X134" i="6"/>
  <c r="W134" i="6"/>
  <c r="P134" i="6"/>
  <c r="R134" i="6" s="1"/>
  <c r="K134" i="6"/>
  <c r="X133" i="6"/>
  <c r="W133" i="6"/>
  <c r="R133" i="6"/>
  <c r="P133" i="6"/>
  <c r="K133" i="6"/>
  <c r="G133" i="6"/>
  <c r="G140" i="6" s="1"/>
  <c r="X132" i="6"/>
  <c r="W132" i="6"/>
  <c r="P132" i="6"/>
  <c r="R132" i="6" s="1"/>
  <c r="K132" i="6"/>
  <c r="X131" i="6"/>
  <c r="W131" i="6"/>
  <c r="R131" i="6"/>
  <c r="P131" i="6"/>
  <c r="K131" i="6"/>
  <c r="X130" i="6"/>
  <c r="W130" i="6"/>
  <c r="R130" i="6"/>
  <c r="P130" i="6"/>
  <c r="K130" i="6"/>
  <c r="K140" i="6" s="1"/>
  <c r="P129" i="6"/>
  <c r="R129" i="6" s="1"/>
  <c r="P128" i="6"/>
  <c r="R128" i="6" s="1"/>
  <c r="Y127" i="6"/>
  <c r="V127" i="6"/>
  <c r="U127" i="6"/>
  <c r="T127" i="6"/>
  <c r="O127" i="6"/>
  <c r="N127" i="6"/>
  <c r="J127" i="6"/>
  <c r="I127" i="6"/>
  <c r="F127" i="6"/>
  <c r="X126" i="6"/>
  <c r="W126" i="6"/>
  <c r="R126" i="6"/>
  <c r="P126" i="6"/>
  <c r="K126" i="6"/>
  <c r="W125" i="6"/>
  <c r="X125" i="6" s="1"/>
  <c r="R125" i="6"/>
  <c r="P125" i="6"/>
  <c r="K125" i="6"/>
  <c r="X124" i="6"/>
  <c r="W124" i="6"/>
  <c r="P124" i="6"/>
  <c r="R124" i="6" s="1"/>
  <c r="K124" i="6"/>
  <c r="X123" i="6"/>
  <c r="W123" i="6"/>
  <c r="R123" i="6"/>
  <c r="P123" i="6"/>
  <c r="K123" i="6"/>
  <c r="X122" i="6"/>
  <c r="W122" i="6"/>
  <c r="R122" i="6"/>
  <c r="P122" i="6"/>
  <c r="K122" i="6"/>
  <c r="W121" i="6"/>
  <c r="X121" i="6" s="1"/>
  <c r="R121" i="6"/>
  <c r="P121" i="6"/>
  <c r="K121" i="6"/>
  <c r="X120" i="6"/>
  <c r="W120" i="6"/>
  <c r="P120" i="6"/>
  <c r="R120" i="6" s="1"/>
  <c r="K120" i="6"/>
  <c r="X119" i="6"/>
  <c r="W119" i="6"/>
  <c r="R119" i="6"/>
  <c r="P119" i="6"/>
  <c r="K119" i="6"/>
  <c r="X118" i="6"/>
  <c r="W118" i="6"/>
  <c r="R118" i="6"/>
  <c r="P118" i="6"/>
  <c r="K118" i="6"/>
  <c r="W117" i="6"/>
  <c r="X117" i="6" s="1"/>
  <c r="R117" i="6"/>
  <c r="P117" i="6"/>
  <c r="K117" i="6"/>
  <c r="W116" i="6"/>
  <c r="X116" i="6" s="1"/>
  <c r="P116" i="6"/>
  <c r="R116" i="6" s="1"/>
  <c r="K116" i="6"/>
  <c r="X115" i="6"/>
  <c r="W115" i="6"/>
  <c r="P115" i="6"/>
  <c r="R115" i="6" s="1"/>
  <c r="K115" i="6"/>
  <c r="X114" i="6"/>
  <c r="W114" i="6"/>
  <c r="R114" i="6"/>
  <c r="P114" i="6"/>
  <c r="K114" i="6"/>
  <c r="W113" i="6"/>
  <c r="X113" i="6" s="1"/>
  <c r="R113" i="6"/>
  <c r="P113" i="6"/>
  <c r="K113" i="6"/>
  <c r="W112" i="6"/>
  <c r="X112" i="6" s="1"/>
  <c r="P112" i="6"/>
  <c r="R112" i="6" s="1"/>
  <c r="K112" i="6"/>
  <c r="X111" i="6"/>
  <c r="W111" i="6"/>
  <c r="P111" i="6"/>
  <c r="R111" i="6" s="1"/>
  <c r="K111" i="6"/>
  <c r="X110" i="6"/>
  <c r="W110" i="6"/>
  <c r="R110" i="6"/>
  <c r="P110" i="6"/>
  <c r="K110" i="6"/>
  <c r="W109" i="6"/>
  <c r="X109" i="6" s="1"/>
  <c r="P109" i="6"/>
  <c r="R109" i="6" s="1"/>
  <c r="K109" i="6"/>
  <c r="K127" i="6" s="1"/>
  <c r="W108" i="6"/>
  <c r="X108" i="6" s="1"/>
  <c r="P108" i="6"/>
  <c r="R108" i="6" s="1"/>
  <c r="K108" i="6"/>
  <c r="X107" i="6"/>
  <c r="W107" i="6"/>
  <c r="P107" i="6"/>
  <c r="R107" i="6" s="1"/>
  <c r="K107" i="6"/>
  <c r="G107" i="6"/>
  <c r="W106" i="6"/>
  <c r="X106" i="6" s="1"/>
  <c r="R106" i="6"/>
  <c r="P106" i="6"/>
  <c r="K106" i="6"/>
  <c r="X105" i="6"/>
  <c r="W105" i="6"/>
  <c r="P105" i="6"/>
  <c r="R105" i="6" s="1"/>
  <c r="K105" i="6"/>
  <c r="X104" i="6"/>
  <c r="W104" i="6"/>
  <c r="R104" i="6"/>
  <c r="P104" i="6"/>
  <c r="K104" i="6"/>
  <c r="G104" i="6"/>
  <c r="G127" i="6" s="1"/>
  <c r="L127" i="6" s="1"/>
  <c r="W103" i="6"/>
  <c r="X103" i="6" s="1"/>
  <c r="P103" i="6"/>
  <c r="R103" i="6" s="1"/>
  <c r="P102" i="6"/>
  <c r="C102" i="6"/>
  <c r="R101" i="6"/>
  <c r="P101" i="6"/>
  <c r="Y100" i="6"/>
  <c r="W100" i="6"/>
  <c r="V100" i="6"/>
  <c r="U100" i="6"/>
  <c r="T100" i="6"/>
  <c r="O100" i="6"/>
  <c r="N100" i="6"/>
  <c r="L100" i="6"/>
  <c r="J100" i="6"/>
  <c r="I100" i="6"/>
  <c r="G100" i="6"/>
  <c r="F100" i="6"/>
  <c r="W99" i="6"/>
  <c r="X99" i="6" s="1"/>
  <c r="R99" i="6"/>
  <c r="P99" i="6"/>
  <c r="K99" i="6"/>
  <c r="X98" i="6"/>
  <c r="W98" i="6"/>
  <c r="P98" i="6"/>
  <c r="R98" i="6" s="1"/>
  <c r="K98" i="6"/>
  <c r="X97" i="6"/>
  <c r="W97" i="6"/>
  <c r="R97" i="6"/>
  <c r="P97" i="6"/>
  <c r="K97" i="6"/>
  <c r="W96" i="6"/>
  <c r="X96" i="6" s="1"/>
  <c r="R96" i="6"/>
  <c r="P96" i="6"/>
  <c r="K96" i="6"/>
  <c r="W95" i="6"/>
  <c r="X95" i="6" s="1"/>
  <c r="P95" i="6"/>
  <c r="R95" i="6" s="1"/>
  <c r="K95" i="6"/>
  <c r="X94" i="6"/>
  <c r="W94" i="6"/>
  <c r="P94" i="6"/>
  <c r="R94" i="6" s="1"/>
  <c r="K94" i="6"/>
  <c r="X93" i="6"/>
  <c r="W93" i="6"/>
  <c r="R93" i="6"/>
  <c r="P93" i="6"/>
  <c r="K93" i="6"/>
  <c r="W92" i="6"/>
  <c r="X92" i="6" s="1"/>
  <c r="R92" i="6"/>
  <c r="P92" i="6"/>
  <c r="K92" i="6"/>
  <c r="K100" i="6" s="1"/>
  <c r="W91" i="6"/>
  <c r="X91" i="6" s="1"/>
  <c r="P91" i="6"/>
  <c r="R91" i="6" s="1"/>
  <c r="W90" i="6"/>
  <c r="X90" i="6" s="1"/>
  <c r="X100" i="6" s="1"/>
  <c r="R90" i="6"/>
  <c r="P90" i="6"/>
  <c r="P100" i="6" s="1"/>
  <c r="R100" i="6" s="1"/>
  <c r="P89" i="6"/>
  <c r="R89" i="6" s="1"/>
  <c r="P88" i="6"/>
  <c r="R88" i="6" s="1"/>
  <c r="Y87" i="6"/>
  <c r="V87" i="6"/>
  <c r="U87" i="6"/>
  <c r="T87" i="6"/>
  <c r="O87" i="6"/>
  <c r="N87" i="6"/>
  <c r="J87" i="6"/>
  <c r="I87" i="6"/>
  <c r="F87" i="6"/>
  <c r="D87" i="6"/>
  <c r="C87" i="6"/>
  <c r="X86" i="6"/>
  <c r="W86" i="6"/>
  <c r="P86" i="6"/>
  <c r="R86" i="6" s="1"/>
  <c r="K86" i="6"/>
  <c r="X85" i="6"/>
  <c r="W85" i="6"/>
  <c r="R85" i="6"/>
  <c r="P85" i="6"/>
  <c r="K85" i="6"/>
  <c r="W84" i="6"/>
  <c r="X84" i="6" s="1"/>
  <c r="R84" i="6"/>
  <c r="P84" i="6"/>
  <c r="K84" i="6"/>
  <c r="W83" i="6"/>
  <c r="X83" i="6" s="1"/>
  <c r="P83" i="6"/>
  <c r="R83" i="6" s="1"/>
  <c r="K83" i="6"/>
  <c r="X82" i="6"/>
  <c r="W82" i="6"/>
  <c r="P82" i="6"/>
  <c r="R82" i="6" s="1"/>
  <c r="K82" i="6"/>
  <c r="X81" i="6"/>
  <c r="W81" i="6"/>
  <c r="R81" i="6"/>
  <c r="P81" i="6"/>
  <c r="K81" i="6"/>
  <c r="W80" i="6"/>
  <c r="X80" i="6" s="1"/>
  <c r="R80" i="6"/>
  <c r="P80" i="6"/>
  <c r="K80" i="6"/>
  <c r="W79" i="6"/>
  <c r="X79" i="6" s="1"/>
  <c r="P79" i="6"/>
  <c r="R79" i="6" s="1"/>
  <c r="K79" i="6"/>
  <c r="G79" i="6"/>
  <c r="G87" i="6" s="1"/>
  <c r="L87" i="6" s="1"/>
  <c r="X78" i="6"/>
  <c r="W78" i="6"/>
  <c r="R78" i="6"/>
  <c r="P78" i="6"/>
  <c r="K78" i="6"/>
  <c r="W77" i="6"/>
  <c r="W87" i="6" s="1"/>
  <c r="R77" i="6"/>
  <c r="P77" i="6"/>
  <c r="P87" i="6" s="1"/>
  <c r="R87" i="6" s="1"/>
  <c r="K77" i="6"/>
  <c r="K87" i="6" s="1"/>
  <c r="P76" i="6"/>
  <c r="R76" i="6" s="1"/>
  <c r="R75" i="6"/>
  <c r="P75" i="6"/>
  <c r="Y74" i="6"/>
  <c r="V74" i="6"/>
  <c r="U74" i="6"/>
  <c r="T74" i="6"/>
  <c r="O74" i="6"/>
  <c r="N74" i="6"/>
  <c r="K74" i="6"/>
  <c r="J74" i="6"/>
  <c r="I74" i="6"/>
  <c r="H74" i="6"/>
  <c r="F74" i="6"/>
  <c r="D74" i="6"/>
  <c r="C74" i="6"/>
  <c r="W73" i="6"/>
  <c r="X73" i="6" s="1"/>
  <c r="P73" i="6"/>
  <c r="R73" i="6" s="1"/>
  <c r="K73" i="6"/>
  <c r="W72" i="6"/>
  <c r="X72" i="6" s="1"/>
  <c r="P72" i="6"/>
  <c r="R72" i="6" s="1"/>
  <c r="K72" i="6"/>
  <c r="X71" i="6"/>
  <c r="W71" i="6"/>
  <c r="P71" i="6"/>
  <c r="R71" i="6" s="1"/>
  <c r="K71" i="6"/>
  <c r="W70" i="6"/>
  <c r="X70" i="6" s="1"/>
  <c r="R70" i="6"/>
  <c r="P70" i="6"/>
  <c r="K70" i="6"/>
  <c r="X69" i="6"/>
  <c r="W69" i="6"/>
  <c r="P69" i="6"/>
  <c r="R69" i="6" s="1"/>
  <c r="K69" i="6"/>
  <c r="W68" i="6"/>
  <c r="X68" i="6" s="1"/>
  <c r="R68" i="6"/>
  <c r="P68" i="6"/>
  <c r="K68" i="6"/>
  <c r="X67" i="6"/>
  <c r="W67" i="6"/>
  <c r="P67" i="6"/>
  <c r="R67" i="6" s="1"/>
  <c r="K67" i="6"/>
  <c r="W66" i="6"/>
  <c r="X66" i="6" s="1"/>
  <c r="R66" i="6"/>
  <c r="P66" i="6"/>
  <c r="K66" i="6"/>
  <c r="X65" i="6"/>
  <c r="W65" i="6"/>
  <c r="P65" i="6"/>
  <c r="R65" i="6" s="1"/>
  <c r="K65" i="6"/>
  <c r="G65" i="6"/>
  <c r="G74" i="6" s="1"/>
  <c r="L74" i="6" s="1"/>
  <c r="X64" i="6"/>
  <c r="W64" i="6"/>
  <c r="W74" i="6" s="1"/>
  <c r="R64" i="6"/>
  <c r="P64" i="6"/>
  <c r="P74" i="6" s="1"/>
  <c r="R74" i="6" s="1"/>
  <c r="K64" i="6"/>
  <c r="P63" i="6"/>
  <c r="R63" i="6" s="1"/>
  <c r="R62" i="6"/>
  <c r="P62" i="6"/>
  <c r="Y61" i="6"/>
  <c r="V61" i="6"/>
  <c r="U61" i="6"/>
  <c r="T61" i="6"/>
  <c r="N61" i="6"/>
  <c r="J61" i="6"/>
  <c r="I61" i="6"/>
  <c r="F61" i="6"/>
  <c r="D61" i="6"/>
  <c r="C61" i="6"/>
  <c r="W60" i="6"/>
  <c r="X60" i="6" s="1"/>
  <c r="R60" i="6"/>
  <c r="P60" i="6"/>
  <c r="K60" i="6"/>
  <c r="X59" i="6"/>
  <c r="W59" i="6"/>
  <c r="P59" i="6"/>
  <c r="R59" i="6" s="1"/>
  <c r="K59" i="6"/>
  <c r="W58" i="6"/>
  <c r="X58" i="6" s="1"/>
  <c r="R58" i="6"/>
  <c r="P58" i="6"/>
  <c r="K58" i="6"/>
  <c r="X57" i="6"/>
  <c r="W57" i="6"/>
  <c r="P57" i="6"/>
  <c r="R57" i="6" s="1"/>
  <c r="K57" i="6"/>
  <c r="W56" i="6"/>
  <c r="X56" i="6" s="1"/>
  <c r="P56" i="6"/>
  <c r="R56" i="6" s="1"/>
  <c r="K56" i="6"/>
  <c r="X55" i="6"/>
  <c r="W55" i="6"/>
  <c r="P55" i="6"/>
  <c r="R55" i="6" s="1"/>
  <c r="O55" i="6"/>
  <c r="O61" i="6" s="1"/>
  <c r="K55" i="6"/>
  <c r="G55" i="6"/>
  <c r="X54" i="6"/>
  <c r="W54" i="6"/>
  <c r="P54" i="6"/>
  <c r="R54" i="6" s="1"/>
  <c r="K54" i="6"/>
  <c r="G54" i="6"/>
  <c r="G61" i="6" s="1"/>
  <c r="W53" i="6"/>
  <c r="X53" i="6" s="1"/>
  <c r="R53" i="6"/>
  <c r="P53" i="6"/>
  <c r="K53" i="6"/>
  <c r="W52" i="6"/>
  <c r="X52" i="6" s="1"/>
  <c r="P52" i="6"/>
  <c r="P61" i="6" s="1"/>
  <c r="R61" i="6" s="1"/>
  <c r="K52" i="6"/>
  <c r="R51" i="6"/>
  <c r="P51" i="6"/>
  <c r="P50" i="6"/>
  <c r="R50" i="6" s="1"/>
  <c r="Y49" i="6"/>
  <c r="W49" i="6"/>
  <c r="U49" i="6"/>
  <c r="O49" i="6"/>
  <c r="N49" i="6"/>
  <c r="J49" i="6"/>
  <c r="I49" i="6"/>
  <c r="G49" i="6"/>
  <c r="C49" i="6"/>
  <c r="X48" i="6"/>
  <c r="W48" i="6"/>
  <c r="P48" i="6"/>
  <c r="R48" i="6" s="1"/>
  <c r="K48" i="6"/>
  <c r="X47" i="6"/>
  <c r="W47" i="6"/>
  <c r="R47" i="6"/>
  <c r="P47" i="6"/>
  <c r="K47" i="6"/>
  <c r="W46" i="6"/>
  <c r="X46" i="6" s="1"/>
  <c r="R46" i="6"/>
  <c r="P46" i="6"/>
  <c r="K46" i="6"/>
  <c r="W45" i="6"/>
  <c r="X45" i="6" s="1"/>
  <c r="P45" i="6"/>
  <c r="R45" i="6" s="1"/>
  <c r="K45" i="6"/>
  <c r="X44" i="6"/>
  <c r="W44" i="6"/>
  <c r="P44" i="6"/>
  <c r="R44" i="6" s="1"/>
  <c r="K44" i="6"/>
  <c r="W43" i="6"/>
  <c r="X43" i="6" s="1"/>
  <c r="R43" i="6"/>
  <c r="P43" i="6"/>
  <c r="K43" i="6"/>
  <c r="W42" i="6"/>
  <c r="X42" i="6" s="1"/>
  <c r="R42" i="6"/>
  <c r="P42" i="6"/>
  <c r="K42" i="6"/>
  <c r="W41" i="6"/>
  <c r="X41" i="6" s="1"/>
  <c r="R41" i="6"/>
  <c r="K41" i="6"/>
  <c r="W40" i="6"/>
  <c r="V40" i="6"/>
  <c r="V49" i="6" s="1"/>
  <c r="T40" i="6"/>
  <c r="T49" i="6" s="1"/>
  <c r="P40" i="6"/>
  <c r="R40" i="6" s="1"/>
  <c r="K40" i="6"/>
  <c r="F40" i="6"/>
  <c r="F49" i="6" s="1"/>
  <c r="X39" i="6"/>
  <c r="W39" i="6"/>
  <c r="P39" i="6"/>
  <c r="R39" i="6" s="1"/>
  <c r="K39" i="6"/>
  <c r="R38" i="6"/>
  <c r="P38" i="6"/>
  <c r="P37" i="6"/>
  <c r="R37" i="6" s="1"/>
  <c r="P36" i="6"/>
  <c r="R36" i="6" s="1"/>
  <c r="Y35" i="6"/>
  <c r="W35" i="6"/>
  <c r="V35" i="6"/>
  <c r="U35" i="6"/>
  <c r="T35" i="6"/>
  <c r="N35" i="6"/>
  <c r="J35" i="6"/>
  <c r="I35" i="6"/>
  <c r="G35" i="6"/>
  <c r="F35" i="6"/>
  <c r="E35" i="6"/>
  <c r="E144" i="6" s="1"/>
  <c r="E209" i="6" s="1"/>
  <c r="X34" i="6"/>
  <c r="W34" i="6"/>
  <c r="P34" i="6"/>
  <c r="R34" i="6" s="1"/>
  <c r="K34" i="6"/>
  <c r="X33" i="6"/>
  <c r="W33" i="6"/>
  <c r="R33" i="6"/>
  <c r="P33" i="6"/>
  <c r="K33" i="6"/>
  <c r="W32" i="6"/>
  <c r="X32" i="6" s="1"/>
  <c r="R32" i="6"/>
  <c r="P32" i="6"/>
  <c r="K32" i="6"/>
  <c r="W31" i="6"/>
  <c r="X31" i="6" s="1"/>
  <c r="P31" i="6"/>
  <c r="R31" i="6" s="1"/>
  <c r="K31" i="6"/>
  <c r="X30" i="6"/>
  <c r="W30" i="6"/>
  <c r="P30" i="6"/>
  <c r="R30" i="6" s="1"/>
  <c r="K30" i="6"/>
  <c r="W29" i="6"/>
  <c r="X29" i="6" s="1"/>
  <c r="R29" i="6"/>
  <c r="P29" i="6"/>
  <c r="O29" i="6"/>
  <c r="O35" i="6" s="1"/>
  <c r="K29" i="6"/>
  <c r="X28" i="6"/>
  <c r="W28" i="6"/>
  <c r="P28" i="6"/>
  <c r="R28" i="6" s="1"/>
  <c r="K28" i="6"/>
  <c r="X27" i="6"/>
  <c r="W27" i="6"/>
  <c r="R27" i="6"/>
  <c r="P27" i="6"/>
  <c r="K27" i="6"/>
  <c r="A27" i="6"/>
  <c r="A28" i="6" s="1"/>
  <c r="A29" i="6" s="1"/>
  <c r="A30" i="6" s="1"/>
  <c r="A31" i="6" s="1"/>
  <c r="A32" i="6" s="1"/>
  <c r="A33" i="6" s="1"/>
  <c r="A34" i="6" s="1"/>
  <c r="A35"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2" i="6" s="1"/>
  <c r="A143" i="6" s="1"/>
  <c r="A144" i="6" s="1"/>
  <c r="A145" i="6" s="1"/>
  <c r="A146" i="6" s="1"/>
  <c r="A147" i="6" s="1"/>
  <c r="A148" i="6" s="1"/>
  <c r="X26" i="6"/>
  <c r="W26" i="6"/>
  <c r="R26" i="6"/>
  <c r="P26" i="6"/>
  <c r="X25" i="6"/>
  <c r="W25" i="6"/>
  <c r="R25" i="6"/>
  <c r="P25" i="6"/>
  <c r="K25" i="6"/>
  <c r="K35" i="6" s="1"/>
  <c r="L35" i="6" s="1"/>
  <c r="P24" i="6"/>
  <c r="R24" i="6" s="1"/>
  <c r="L24" i="6"/>
  <c r="A24" i="6"/>
  <c r="A25" i="6" s="1"/>
  <c r="A26" i="6" s="1"/>
  <c r="R23" i="6"/>
  <c r="P23" i="6"/>
  <c r="L23" i="6"/>
  <c r="A23" i="6"/>
  <c r="Y22" i="6"/>
  <c r="V22" i="6"/>
  <c r="U22" i="6"/>
  <c r="T22" i="6"/>
  <c r="O22" i="6"/>
  <c r="N22" i="6"/>
  <c r="J22" i="6"/>
  <c r="I22" i="6"/>
  <c r="H22" i="6"/>
  <c r="G22" i="6"/>
  <c r="F22" i="6"/>
  <c r="E22" i="6"/>
  <c r="D22" i="6"/>
  <c r="C22" i="6"/>
  <c r="X21" i="6"/>
  <c r="W21" i="6"/>
  <c r="P21" i="6"/>
  <c r="R21" i="6" s="1"/>
  <c r="W20" i="6"/>
  <c r="X20" i="6" s="1"/>
  <c r="R20" i="6"/>
  <c r="P20" i="6"/>
  <c r="X19" i="6"/>
  <c r="W19" i="6"/>
  <c r="P19" i="6"/>
  <c r="R19" i="6" s="1"/>
  <c r="W18" i="6"/>
  <c r="X18" i="6" s="1"/>
  <c r="R18" i="6"/>
  <c r="P18" i="6"/>
  <c r="X17" i="6"/>
  <c r="W17" i="6"/>
  <c r="P17" i="6"/>
  <c r="R17" i="6" s="1"/>
  <c r="X16" i="6"/>
  <c r="W16" i="6"/>
  <c r="R16" i="6"/>
  <c r="P16" i="6"/>
  <c r="W15" i="6"/>
  <c r="X15" i="6" s="1"/>
  <c r="R15" i="6"/>
  <c r="P15" i="6"/>
  <c r="K15" i="6"/>
  <c r="X14" i="6"/>
  <c r="W14" i="6"/>
  <c r="P14" i="6"/>
  <c r="R14" i="6" s="1"/>
  <c r="K14" i="6"/>
  <c r="W13" i="6"/>
  <c r="X13" i="6" s="1"/>
  <c r="R13" i="6"/>
  <c r="P13" i="6"/>
  <c r="K13" i="6"/>
  <c r="X12" i="6"/>
  <c r="W12" i="6"/>
  <c r="P12" i="6"/>
  <c r="R12" i="6" s="1"/>
  <c r="K12" i="6"/>
  <c r="W11" i="6"/>
  <c r="X11" i="6" s="1"/>
  <c r="R11" i="6"/>
  <c r="P11" i="6"/>
  <c r="K11" i="6"/>
  <c r="K22" i="6" s="1"/>
  <c r="X10" i="6"/>
  <c r="W10" i="6"/>
  <c r="L10" i="6"/>
  <c r="L9" i="6"/>
  <c r="P57" i="5"/>
  <c r="R57" i="5" s="1"/>
  <c r="U56" i="5"/>
  <c r="N56" i="5"/>
  <c r="I56" i="5"/>
  <c r="E56" i="5"/>
  <c r="T55" i="5"/>
  <c r="J55" i="5"/>
  <c r="K55" i="5" s="1"/>
  <c r="C55" i="5"/>
  <c r="C52" i="5" s="1"/>
  <c r="C56" i="5" s="1"/>
  <c r="W54" i="5"/>
  <c r="X54" i="5" s="1"/>
  <c r="P54" i="5"/>
  <c r="R54" i="5" s="1"/>
  <c r="K54" i="5"/>
  <c r="L54" i="5" s="1"/>
  <c r="W53" i="5"/>
  <c r="P53" i="5"/>
  <c r="R53" i="5" s="1"/>
  <c r="K53" i="5"/>
  <c r="G53" i="5"/>
  <c r="L53" i="5" s="1"/>
  <c r="P52" i="5"/>
  <c r="L52" i="5"/>
  <c r="P51" i="5"/>
  <c r="R51" i="5" s="1"/>
  <c r="L51" i="5"/>
  <c r="R50" i="5"/>
  <c r="P50" i="5"/>
  <c r="L50" i="5"/>
  <c r="U49" i="5"/>
  <c r="N49" i="5"/>
  <c r="I49" i="5"/>
  <c r="K46" i="5" s="1"/>
  <c r="H49" i="5"/>
  <c r="E49" i="5"/>
  <c r="D49" i="5"/>
  <c r="V48" i="5"/>
  <c r="W48" i="5" s="1"/>
  <c r="T48" i="5"/>
  <c r="T49" i="5" s="1"/>
  <c r="J48" i="5"/>
  <c r="J49" i="5" s="1"/>
  <c r="C48" i="5"/>
  <c r="C49" i="5" s="1"/>
  <c r="X47" i="5"/>
  <c r="W47" i="5"/>
  <c r="R47" i="5"/>
  <c r="P47" i="5"/>
  <c r="L47" i="5"/>
  <c r="W46" i="5"/>
  <c r="X46" i="5" s="1"/>
  <c r="P46" i="5"/>
  <c r="R46" i="5" s="1"/>
  <c r="X45" i="5"/>
  <c r="W45" i="5"/>
  <c r="R45" i="5"/>
  <c r="P45" i="5"/>
  <c r="K45" i="5"/>
  <c r="X44" i="5"/>
  <c r="W44" i="5"/>
  <c r="R44" i="5"/>
  <c r="P44" i="5"/>
  <c r="K44" i="5"/>
  <c r="W43" i="5"/>
  <c r="X43" i="5" s="1"/>
  <c r="R43" i="5"/>
  <c r="P43" i="5"/>
  <c r="K43" i="5"/>
  <c r="X42" i="5"/>
  <c r="W42" i="5"/>
  <c r="P42" i="5"/>
  <c r="R42" i="5" s="1"/>
  <c r="K42" i="5"/>
  <c r="X41" i="5"/>
  <c r="W41" i="5"/>
  <c r="R41" i="5"/>
  <c r="P41" i="5"/>
  <c r="K41" i="5"/>
  <c r="X40" i="5"/>
  <c r="W40" i="5"/>
  <c r="R40" i="5"/>
  <c r="P40" i="5"/>
  <c r="K40" i="5"/>
  <c r="W39" i="5"/>
  <c r="X39" i="5" s="1"/>
  <c r="R39" i="5"/>
  <c r="P39" i="5"/>
  <c r="K39" i="5"/>
  <c r="X38" i="5"/>
  <c r="P38" i="5"/>
  <c r="R38" i="5" s="1"/>
  <c r="X37" i="5"/>
  <c r="W37" i="5"/>
  <c r="R37" i="5"/>
  <c r="P37" i="5"/>
  <c r="L37" i="5"/>
  <c r="W36" i="5"/>
  <c r="X36" i="5" s="1"/>
  <c r="R36" i="5"/>
  <c r="P36" i="5"/>
  <c r="L36" i="5"/>
  <c r="X35" i="5"/>
  <c r="W35" i="5"/>
  <c r="P35" i="5"/>
  <c r="R35" i="5" s="1"/>
  <c r="L35" i="5"/>
  <c r="A35" i="5"/>
  <c r="A36" i="5" s="1"/>
  <c r="A37" i="5" s="1"/>
  <c r="A38" i="5" s="1"/>
  <c r="A39" i="5" s="1"/>
  <c r="A40" i="5" s="1"/>
  <c r="A41" i="5" s="1"/>
  <c r="A42" i="5" s="1"/>
  <c r="A43" i="5" s="1"/>
  <c r="A44" i="5" s="1"/>
  <c r="A45" i="5" s="1"/>
  <c r="A48" i="5" s="1"/>
  <c r="A49" i="5" s="1"/>
  <c r="A50" i="5" s="1"/>
  <c r="A51" i="5" s="1"/>
  <c r="A52" i="5" s="1"/>
  <c r="A53" i="5" s="1"/>
  <c r="A55" i="5" s="1"/>
  <c r="A56" i="5" s="1"/>
  <c r="A57" i="5" s="1"/>
  <c r="A58" i="5" s="1"/>
  <c r="A7" i="6" s="1"/>
  <c r="A8" i="6" s="1"/>
  <c r="A9" i="6" s="1"/>
  <c r="A10" i="6" s="1"/>
  <c r="A11" i="6" s="1"/>
  <c r="A12" i="6" s="1"/>
  <c r="A13" i="6" s="1"/>
  <c r="A14" i="6" s="1"/>
  <c r="A15" i="6" s="1"/>
  <c r="A16" i="6" s="1"/>
  <c r="A17" i="6" s="1"/>
  <c r="A18" i="6" s="1"/>
  <c r="U34" i="5"/>
  <c r="N34" i="5"/>
  <c r="I34" i="5"/>
  <c r="H34" i="5"/>
  <c r="E34" i="5"/>
  <c r="D34" i="5"/>
  <c r="C34" i="5"/>
  <c r="A34" i="5"/>
  <c r="T33" i="5"/>
  <c r="T34" i="5" s="1"/>
  <c r="O33" i="5"/>
  <c r="P33" i="5" s="1"/>
  <c r="R33" i="5" s="1"/>
  <c r="J33" i="5"/>
  <c r="J34" i="5" s="1"/>
  <c r="X32" i="5"/>
  <c r="W32" i="5"/>
  <c r="R32" i="5"/>
  <c r="P32" i="5"/>
  <c r="L32" i="5"/>
  <c r="W31" i="5"/>
  <c r="X31" i="5" s="1"/>
  <c r="P31" i="5"/>
  <c r="R31" i="5" s="1"/>
  <c r="L31" i="5"/>
  <c r="X30" i="5"/>
  <c r="W30" i="5"/>
  <c r="P30" i="5"/>
  <c r="R30" i="5" s="1"/>
  <c r="L30" i="5"/>
  <c r="W29" i="5"/>
  <c r="X29" i="5" s="1"/>
  <c r="P29" i="5"/>
  <c r="R29" i="5" s="1"/>
  <c r="K29" i="5"/>
  <c r="L29" i="5" s="1"/>
  <c r="W28" i="5"/>
  <c r="P28" i="5"/>
  <c r="R28" i="5" s="1"/>
  <c r="K28" i="5"/>
  <c r="L28" i="5" s="1"/>
  <c r="W27" i="5"/>
  <c r="X27" i="5" s="1"/>
  <c r="P27" i="5"/>
  <c r="R27" i="5" s="1"/>
  <c r="L27" i="5"/>
  <c r="W26" i="5"/>
  <c r="X26" i="5" s="1"/>
  <c r="P26" i="5"/>
  <c r="R26" i="5" s="1"/>
  <c r="L26" i="5"/>
  <c r="W25" i="5"/>
  <c r="V25" i="5"/>
  <c r="U25" i="5"/>
  <c r="T25" i="5"/>
  <c r="O25" i="5"/>
  <c r="N25" i="5"/>
  <c r="L25" i="5"/>
  <c r="J25" i="5"/>
  <c r="I25" i="5"/>
  <c r="H25" i="5"/>
  <c r="G25" i="5"/>
  <c r="F25" i="5"/>
  <c r="D25" i="5"/>
  <c r="W24" i="5"/>
  <c r="X24" i="5" s="1"/>
  <c r="P24" i="5"/>
  <c r="R24" i="5" s="1"/>
  <c r="K24" i="5"/>
  <c r="L24" i="5" s="1"/>
  <c r="C24" i="5"/>
  <c r="C25" i="5" s="1"/>
  <c r="W23" i="5"/>
  <c r="X23" i="5" s="1"/>
  <c r="X25" i="5" s="1"/>
  <c r="P23" i="5"/>
  <c r="P25" i="5" s="1"/>
  <c r="R25" i="5" s="1"/>
  <c r="L23" i="5"/>
  <c r="W22" i="5"/>
  <c r="X22" i="5" s="1"/>
  <c r="P22" i="5"/>
  <c r="R22" i="5" s="1"/>
  <c r="K22" i="5"/>
  <c r="K25" i="5" s="1"/>
  <c r="E22" i="5"/>
  <c r="E25" i="5" s="1"/>
  <c r="W21" i="5"/>
  <c r="X21" i="5" s="1"/>
  <c r="P21" i="5"/>
  <c r="R21" i="5" s="1"/>
  <c r="L21" i="5"/>
  <c r="U20" i="5"/>
  <c r="N20" i="5"/>
  <c r="J20" i="5"/>
  <c r="I20" i="5"/>
  <c r="I58" i="5" s="1"/>
  <c r="H20" i="5"/>
  <c r="E20" i="5"/>
  <c r="E58" i="5" s="1"/>
  <c r="D20" i="5"/>
  <c r="V19" i="5"/>
  <c r="V20" i="5" s="1"/>
  <c r="T19" i="5"/>
  <c r="T20" i="5" s="1"/>
  <c r="K19" i="5"/>
  <c r="W18" i="5"/>
  <c r="X18" i="5" s="1"/>
  <c r="P18" i="5"/>
  <c r="R18" i="5" s="1"/>
  <c r="K18" i="5"/>
  <c r="L18" i="5" s="1"/>
  <c r="X17" i="5"/>
  <c r="W17" i="5"/>
  <c r="P17" i="5"/>
  <c r="R17" i="5" s="1"/>
  <c r="K17" i="5"/>
  <c r="E17" i="5"/>
  <c r="L17" i="5" s="1"/>
  <c r="X16" i="5"/>
  <c r="W16" i="5"/>
  <c r="P16" i="5"/>
  <c r="R16" i="5" s="1"/>
  <c r="K16" i="5"/>
  <c r="G16" i="5"/>
  <c r="W15" i="5"/>
  <c r="X15" i="5" s="1"/>
  <c r="R15" i="5"/>
  <c r="P15" i="5"/>
  <c r="L15" i="5"/>
  <c r="K15" i="5"/>
  <c r="G15" i="5"/>
  <c r="W14" i="5"/>
  <c r="X14" i="5" s="1"/>
  <c r="R14" i="5"/>
  <c r="P14" i="5"/>
  <c r="L14" i="5"/>
  <c r="K14" i="5"/>
  <c r="W13" i="5"/>
  <c r="X13" i="5" s="1"/>
  <c r="R13" i="5"/>
  <c r="P13" i="5"/>
  <c r="K13" i="5"/>
  <c r="L13" i="5" s="1"/>
  <c r="X12" i="5"/>
  <c r="W12" i="5"/>
  <c r="P12" i="5"/>
  <c r="R12" i="5" s="1"/>
  <c r="K12" i="5"/>
  <c r="G12" i="5"/>
  <c r="L12" i="5" s="1"/>
  <c r="X11" i="5"/>
  <c r="W11" i="5"/>
  <c r="P11" i="5"/>
  <c r="R11" i="5" s="1"/>
  <c r="K11" i="5"/>
  <c r="G11" i="5"/>
  <c r="X10" i="5"/>
  <c r="W10" i="5"/>
  <c r="P10" i="5"/>
  <c r="R10" i="5" s="1"/>
  <c r="L10" i="5"/>
  <c r="K10" i="5"/>
  <c r="W9" i="5"/>
  <c r="X9" i="5" s="1"/>
  <c r="P9" i="5"/>
  <c r="R9" i="5" s="1"/>
  <c r="L9" i="5"/>
  <c r="K9" i="5"/>
  <c r="C9" i="5"/>
  <c r="C20" i="5" s="1"/>
  <c r="W8" i="5"/>
  <c r="X8" i="5" s="1"/>
  <c r="P8" i="5"/>
  <c r="R8" i="5" s="1"/>
  <c r="L8" i="5"/>
  <c r="K8" i="5"/>
  <c r="A7" i="5"/>
  <c r="A8" i="5" s="1"/>
  <c r="A9" i="5" s="1"/>
  <c r="A10" i="5" s="1"/>
  <c r="A11" i="5" s="1"/>
  <c r="A12" i="5" s="1"/>
  <c r="A13" i="5" s="1"/>
  <c r="A14" i="5" s="1"/>
  <c r="A15" i="5" s="1"/>
  <c r="A16" i="5" s="1"/>
  <c r="A17" i="5" s="1"/>
  <c r="A19" i="5" s="1"/>
  <c r="A20" i="5" s="1"/>
  <c r="A21" i="5" s="1"/>
  <c r="A22" i="5" s="1"/>
  <c r="A23" i="5" s="1"/>
  <c r="A24" i="5" s="1"/>
  <c r="A25" i="5" s="1"/>
  <c r="A26" i="5" s="1"/>
  <c r="A27" i="5" s="1"/>
  <c r="K66" i="4"/>
  <c r="J66" i="4"/>
  <c r="J50" i="4"/>
  <c r="L44" i="4"/>
  <c r="K44" i="4"/>
  <c r="F27" i="4"/>
  <c r="K22" i="4"/>
  <c r="U20" i="4"/>
  <c r="N20" i="4"/>
  <c r="I20" i="4"/>
  <c r="H20" i="4"/>
  <c r="D20" i="4"/>
  <c r="C20" i="4"/>
  <c r="X19" i="4"/>
  <c r="W19" i="4"/>
  <c r="P19" i="4"/>
  <c r="K19" i="4"/>
  <c r="L19" i="4" s="1"/>
  <c r="W18" i="4"/>
  <c r="X18" i="4" s="1"/>
  <c r="P18" i="4"/>
  <c r="L18" i="4"/>
  <c r="K18" i="4"/>
  <c r="W17" i="4"/>
  <c r="X17" i="4" s="1"/>
  <c r="P17" i="4"/>
  <c r="K17" i="4"/>
  <c r="L17" i="4" s="1"/>
  <c r="V16" i="4"/>
  <c r="W16" i="4" s="1"/>
  <c r="T16" i="4"/>
  <c r="J16" i="4"/>
  <c r="W15" i="4"/>
  <c r="X15" i="4" s="1"/>
  <c r="P15" i="4"/>
  <c r="K15" i="4"/>
  <c r="E15" i="4"/>
  <c r="W14" i="4"/>
  <c r="X14" i="4" s="1"/>
  <c r="P14" i="4"/>
  <c r="K14" i="4"/>
  <c r="L14" i="4" s="1"/>
  <c r="W13" i="4"/>
  <c r="X13" i="4" s="1"/>
  <c r="P13" i="4"/>
  <c r="L13" i="4"/>
  <c r="K13" i="4"/>
  <c r="W12" i="4"/>
  <c r="X12" i="4" s="1"/>
  <c r="P12" i="4"/>
  <c r="L12" i="4"/>
  <c r="K12" i="4"/>
  <c r="W11" i="4"/>
  <c r="X11" i="4" s="1"/>
  <c r="P11" i="4"/>
  <c r="L11" i="4"/>
  <c r="K11" i="4"/>
  <c r="W10" i="4"/>
  <c r="X10" i="4" s="1"/>
  <c r="P10" i="4"/>
  <c r="K10" i="4"/>
  <c r="L10" i="4" s="1"/>
  <c r="W9" i="4"/>
  <c r="X9" i="4" s="1"/>
  <c r="P9" i="4"/>
  <c r="L9" i="4"/>
  <c r="K9" i="4"/>
  <c r="W8" i="4"/>
  <c r="P8" i="4"/>
  <c r="P121" i="3"/>
  <c r="R121" i="3" s="1"/>
  <c r="L121" i="3"/>
  <c r="U120" i="3"/>
  <c r="N120" i="3"/>
  <c r="I120" i="3"/>
  <c r="K117" i="3" s="1"/>
  <c r="L117" i="3" s="1"/>
  <c r="G120" i="3"/>
  <c r="E120" i="3"/>
  <c r="W119" i="3"/>
  <c r="X119" i="3" s="1"/>
  <c r="P119" i="3"/>
  <c r="R119" i="3" s="1"/>
  <c r="K119" i="3"/>
  <c r="L119" i="3" s="1"/>
  <c r="T118" i="3"/>
  <c r="T120" i="3" s="1"/>
  <c r="J118" i="3"/>
  <c r="K118" i="3" s="1"/>
  <c r="L118" i="3" s="1"/>
  <c r="C118" i="3"/>
  <c r="W117" i="3"/>
  <c r="P117" i="3"/>
  <c r="R117" i="3" s="1"/>
  <c r="W116" i="3"/>
  <c r="X116" i="3" s="1"/>
  <c r="P116" i="3"/>
  <c r="K116" i="3"/>
  <c r="L116" i="3" s="1"/>
  <c r="J116" i="3"/>
  <c r="J120" i="3" s="1"/>
  <c r="C116" i="3"/>
  <c r="A116" i="3"/>
  <c r="A118" i="3" s="1"/>
  <c r="A119" i="3" s="1"/>
  <c r="A120" i="3" s="1"/>
  <c r="A121" i="3" s="1"/>
  <c r="A122" i="3" s="1"/>
  <c r="A6" i="4" s="1"/>
  <c r="A8" i="4" s="1"/>
  <c r="A9" i="4" s="1"/>
  <c r="A10" i="4" s="1"/>
  <c r="A11" i="4" s="1"/>
  <c r="A12" i="4" s="1"/>
  <c r="A13" i="4" s="1"/>
  <c r="A14" i="4" s="1"/>
  <c r="R115" i="3"/>
  <c r="P115" i="3"/>
  <c r="L115" i="3"/>
  <c r="P114" i="3"/>
  <c r="R114" i="3" s="1"/>
  <c r="L114" i="3"/>
  <c r="W113" i="3"/>
  <c r="V113" i="3"/>
  <c r="T113" i="3"/>
  <c r="X113" i="3" s="1"/>
  <c r="P113" i="3"/>
  <c r="R113" i="3" s="1"/>
  <c r="O113" i="3"/>
  <c r="W112" i="3"/>
  <c r="X112" i="3" s="1"/>
  <c r="R112" i="3"/>
  <c r="P112" i="3"/>
  <c r="X111" i="3"/>
  <c r="W111" i="3"/>
  <c r="R111" i="3"/>
  <c r="P111" i="3"/>
  <c r="K111" i="3"/>
  <c r="L111" i="3" s="1"/>
  <c r="J111" i="3"/>
  <c r="V110" i="3"/>
  <c r="W110" i="3" s="1"/>
  <c r="X110" i="3" s="1"/>
  <c r="T110" i="3"/>
  <c r="P110" i="3"/>
  <c r="R110" i="3" s="1"/>
  <c r="O110" i="3"/>
  <c r="W109" i="3"/>
  <c r="X109" i="3" s="1"/>
  <c r="P109" i="3"/>
  <c r="R109" i="3" s="1"/>
  <c r="P108" i="3"/>
  <c r="R108" i="3" s="1"/>
  <c r="L108" i="3"/>
  <c r="K108" i="3"/>
  <c r="F108" i="3"/>
  <c r="P107" i="3"/>
  <c r="R107" i="3" s="1"/>
  <c r="L107" i="3"/>
  <c r="P106" i="3"/>
  <c r="R106" i="3" s="1"/>
  <c r="L106" i="3"/>
  <c r="E105" i="3"/>
  <c r="D105" i="3"/>
  <c r="V104" i="3"/>
  <c r="T104" i="3"/>
  <c r="T105" i="3" s="1"/>
  <c r="J104" i="3"/>
  <c r="C104" i="3"/>
  <c r="A104" i="3"/>
  <c r="A105" i="3" s="1"/>
  <c r="A106" i="3" s="1"/>
  <c r="A108" i="3" s="1"/>
  <c r="A111" i="3" s="1"/>
  <c r="A114" i="3" s="1"/>
  <c r="W103" i="3"/>
  <c r="X103" i="3" s="1"/>
  <c r="P103" i="3"/>
  <c r="R103" i="3" s="1"/>
  <c r="A103" i="3"/>
  <c r="R102" i="3"/>
  <c r="P102" i="3"/>
  <c r="L102" i="3"/>
  <c r="A102" i="3"/>
  <c r="Y101" i="3"/>
  <c r="V101" i="3"/>
  <c r="U101" i="3"/>
  <c r="U105" i="3" s="1"/>
  <c r="U122" i="3" s="1"/>
  <c r="T101" i="3"/>
  <c r="O101" i="3"/>
  <c r="N101" i="3"/>
  <c r="J101" i="3"/>
  <c r="I101" i="3"/>
  <c r="I105" i="3" s="1"/>
  <c r="G101" i="3"/>
  <c r="F101" i="3"/>
  <c r="C101" i="3"/>
  <c r="W100" i="3"/>
  <c r="X100" i="3" s="1"/>
  <c r="R100" i="3"/>
  <c r="P100" i="3"/>
  <c r="K100" i="3"/>
  <c r="X99" i="3"/>
  <c r="W99" i="3"/>
  <c r="R99" i="3"/>
  <c r="P99" i="3"/>
  <c r="K99" i="3"/>
  <c r="X98" i="3"/>
  <c r="W98" i="3"/>
  <c r="P98" i="3"/>
  <c r="R98" i="3" s="1"/>
  <c r="K98" i="3"/>
  <c r="W97" i="3"/>
  <c r="X97" i="3" s="1"/>
  <c r="R97" i="3"/>
  <c r="P97" i="3"/>
  <c r="K97" i="3"/>
  <c r="W96" i="3"/>
  <c r="X96" i="3" s="1"/>
  <c r="P96" i="3"/>
  <c r="R96" i="3" s="1"/>
  <c r="K96" i="3"/>
  <c r="W95" i="3"/>
  <c r="X95" i="3" s="1"/>
  <c r="P95" i="3"/>
  <c r="R95" i="3" s="1"/>
  <c r="K95" i="3"/>
  <c r="L95" i="3" s="1"/>
  <c r="X94" i="3"/>
  <c r="W94" i="3"/>
  <c r="R94" i="3"/>
  <c r="P94" i="3"/>
  <c r="L94" i="3"/>
  <c r="K94" i="3"/>
  <c r="X93" i="3"/>
  <c r="W93" i="3"/>
  <c r="P93" i="3"/>
  <c r="R93" i="3" s="1"/>
  <c r="K93" i="3"/>
  <c r="L93" i="3" s="1"/>
  <c r="W92" i="3"/>
  <c r="X92" i="3" s="1"/>
  <c r="R92" i="3"/>
  <c r="P92" i="3"/>
  <c r="L92" i="3"/>
  <c r="K92" i="3"/>
  <c r="W91" i="3"/>
  <c r="X91" i="3" s="1"/>
  <c r="R91" i="3"/>
  <c r="P91" i="3"/>
  <c r="K91" i="3"/>
  <c r="L91" i="3" s="1"/>
  <c r="X90" i="3"/>
  <c r="W90" i="3"/>
  <c r="P90" i="3"/>
  <c r="R90" i="3" s="1"/>
  <c r="L90" i="3"/>
  <c r="K90" i="3"/>
  <c r="W89" i="3"/>
  <c r="X89" i="3" s="1"/>
  <c r="P89" i="3"/>
  <c r="P101" i="3" s="1"/>
  <c r="R101" i="3" s="1"/>
  <c r="L89" i="3"/>
  <c r="K89" i="3"/>
  <c r="R88" i="3"/>
  <c r="P88" i="3"/>
  <c r="L88" i="3"/>
  <c r="P87" i="3"/>
  <c r="R87" i="3" s="1"/>
  <c r="L87" i="3"/>
  <c r="A87" i="3"/>
  <c r="A88" i="3" s="1"/>
  <c r="A89" i="3" s="1"/>
  <c r="A90" i="3" s="1"/>
  <c r="A91" i="3" s="1"/>
  <c r="A92" i="3" s="1"/>
  <c r="A93" i="3" s="1"/>
  <c r="A94" i="3" s="1"/>
  <c r="A95" i="3" s="1"/>
  <c r="A96" i="3" s="1"/>
  <c r="A97" i="3" s="1"/>
  <c r="A98" i="3" s="1"/>
  <c r="Y86" i="3"/>
  <c r="V86" i="3"/>
  <c r="U86" i="3"/>
  <c r="T86" i="3"/>
  <c r="O86" i="3"/>
  <c r="N86" i="3"/>
  <c r="J86" i="3"/>
  <c r="I86" i="3"/>
  <c r="K85" i="3" s="1"/>
  <c r="L85" i="3" s="1"/>
  <c r="G86" i="3"/>
  <c r="F86" i="3"/>
  <c r="C86" i="3"/>
  <c r="W85" i="3"/>
  <c r="X85" i="3" s="1"/>
  <c r="P85" i="3"/>
  <c r="R85" i="3" s="1"/>
  <c r="W84" i="3"/>
  <c r="X84" i="3" s="1"/>
  <c r="P84" i="3"/>
  <c r="R84" i="3" s="1"/>
  <c r="K84" i="3"/>
  <c r="L84" i="3" s="1"/>
  <c r="X83" i="3"/>
  <c r="W83" i="3"/>
  <c r="P83" i="3"/>
  <c r="R83" i="3" s="1"/>
  <c r="K83" i="3"/>
  <c r="L83" i="3" s="1"/>
  <c r="W82" i="3"/>
  <c r="X82" i="3" s="1"/>
  <c r="R82" i="3"/>
  <c r="P82" i="3"/>
  <c r="K82" i="3"/>
  <c r="X81" i="3"/>
  <c r="W81" i="3"/>
  <c r="P81" i="3"/>
  <c r="R81" i="3" s="1"/>
  <c r="K81" i="3"/>
  <c r="A81" i="3"/>
  <c r="A82" i="3" s="1"/>
  <c r="A83" i="3" s="1"/>
  <c r="X80" i="3"/>
  <c r="W80" i="3"/>
  <c r="R80" i="3"/>
  <c r="P80" i="3"/>
  <c r="K80" i="3"/>
  <c r="X79" i="3"/>
  <c r="W79" i="3"/>
  <c r="P79" i="3"/>
  <c r="R79" i="3" s="1"/>
  <c r="W78" i="3"/>
  <c r="X78" i="3" s="1"/>
  <c r="P78" i="3"/>
  <c r="R78" i="3" s="1"/>
  <c r="K78" i="3"/>
  <c r="X77" i="3"/>
  <c r="W77" i="3"/>
  <c r="R77" i="3"/>
  <c r="P77" i="3"/>
  <c r="X76" i="3"/>
  <c r="W76" i="3"/>
  <c r="P76" i="3"/>
  <c r="R76" i="3" s="1"/>
  <c r="K76" i="3"/>
  <c r="W75" i="3"/>
  <c r="X75" i="3" s="1"/>
  <c r="P75" i="3"/>
  <c r="R75" i="3" s="1"/>
  <c r="W74" i="3"/>
  <c r="X74" i="3" s="1"/>
  <c r="R74" i="3"/>
  <c r="P74" i="3"/>
  <c r="W73" i="3"/>
  <c r="P73" i="3"/>
  <c r="R73" i="3" s="1"/>
  <c r="P72" i="3"/>
  <c r="R72" i="3" s="1"/>
  <c r="X71" i="3"/>
  <c r="W71" i="3"/>
  <c r="P71" i="3"/>
  <c r="R71" i="3" s="1"/>
  <c r="K71" i="3"/>
  <c r="X70" i="3"/>
  <c r="W70" i="3"/>
  <c r="P70" i="3"/>
  <c r="R70" i="3" s="1"/>
  <c r="K70" i="3"/>
  <c r="K86" i="3" s="1"/>
  <c r="L86" i="3" s="1"/>
  <c r="R69" i="3"/>
  <c r="P69" i="3"/>
  <c r="L69" i="3"/>
  <c r="P68" i="3"/>
  <c r="R68" i="3" s="1"/>
  <c r="L68" i="3"/>
  <c r="V67" i="3"/>
  <c r="V105" i="3" s="1"/>
  <c r="U67" i="3"/>
  <c r="T67" i="3"/>
  <c r="O67" i="3"/>
  <c r="N67" i="3"/>
  <c r="N105" i="3" s="1"/>
  <c r="J67" i="3"/>
  <c r="I67" i="3"/>
  <c r="G67" i="3"/>
  <c r="F67" i="3"/>
  <c r="C67" i="3"/>
  <c r="W66" i="3"/>
  <c r="X66" i="3" s="1"/>
  <c r="P66" i="3"/>
  <c r="R66" i="3" s="1"/>
  <c r="K66" i="3"/>
  <c r="X65" i="3"/>
  <c r="W65" i="3"/>
  <c r="R65" i="3"/>
  <c r="P65" i="3"/>
  <c r="K65" i="3"/>
  <c r="W64" i="3"/>
  <c r="X64" i="3" s="1"/>
  <c r="R64" i="3"/>
  <c r="P64" i="3"/>
  <c r="K64" i="3"/>
  <c r="X63" i="3"/>
  <c r="W63" i="3"/>
  <c r="P63" i="3"/>
  <c r="R63" i="3" s="1"/>
  <c r="K63" i="3"/>
  <c r="X62" i="3"/>
  <c r="W62" i="3"/>
  <c r="R62" i="3"/>
  <c r="P62" i="3"/>
  <c r="K62" i="3"/>
  <c r="W61" i="3"/>
  <c r="X61" i="3" s="1"/>
  <c r="R61" i="3"/>
  <c r="P61" i="3"/>
  <c r="K61" i="3"/>
  <c r="W60" i="3"/>
  <c r="W67" i="3" s="1"/>
  <c r="P60" i="3"/>
  <c r="P67" i="3" s="1"/>
  <c r="R67" i="3" s="1"/>
  <c r="P59" i="3"/>
  <c r="R59" i="3" s="1"/>
  <c r="P58" i="3"/>
  <c r="R58" i="3" s="1"/>
  <c r="A58" i="3"/>
  <c r="A59" i="3" s="1"/>
  <c r="A60" i="3" s="1"/>
  <c r="A61" i="3" s="1"/>
  <c r="A62" i="3" s="1"/>
  <c r="A63" i="3" s="1"/>
  <c r="A64" i="3" s="1"/>
  <c r="A65" i="3" s="1"/>
  <c r="A67" i="3" s="1"/>
  <c r="A68" i="3" s="1"/>
  <c r="A69" i="3" s="1"/>
  <c r="A70" i="3" s="1"/>
  <c r="Y57" i="3"/>
  <c r="V57" i="3"/>
  <c r="U57" i="3"/>
  <c r="T57" i="3"/>
  <c r="O57" i="3"/>
  <c r="N57" i="3"/>
  <c r="I57" i="3"/>
  <c r="G57" i="3"/>
  <c r="F57" i="3"/>
  <c r="C57" i="3"/>
  <c r="X56" i="3"/>
  <c r="W56" i="3"/>
  <c r="R56" i="3"/>
  <c r="P56" i="3"/>
  <c r="K56" i="3"/>
  <c r="X55" i="3"/>
  <c r="W55" i="3"/>
  <c r="P55" i="3"/>
  <c r="R55" i="3" s="1"/>
  <c r="W54" i="3"/>
  <c r="R54" i="3"/>
  <c r="P54" i="3"/>
  <c r="K54" i="3"/>
  <c r="W53" i="3"/>
  <c r="X53" i="3" s="1"/>
  <c r="R53" i="3"/>
  <c r="P53" i="3"/>
  <c r="K53" i="3"/>
  <c r="W52" i="3"/>
  <c r="X52" i="3" s="1"/>
  <c r="P52" i="3"/>
  <c r="R52" i="3" s="1"/>
  <c r="K52" i="3"/>
  <c r="X51" i="3"/>
  <c r="W51" i="3"/>
  <c r="P51" i="3"/>
  <c r="R51" i="3" s="1"/>
  <c r="K51" i="3"/>
  <c r="X50" i="3"/>
  <c r="W50" i="3"/>
  <c r="R50" i="3"/>
  <c r="P50" i="3"/>
  <c r="J50" i="3"/>
  <c r="J57" i="3" s="1"/>
  <c r="W49" i="3"/>
  <c r="P49" i="3"/>
  <c r="R49" i="3" s="1"/>
  <c r="K49" i="3"/>
  <c r="R48" i="3"/>
  <c r="P48" i="3"/>
  <c r="L48" i="3"/>
  <c r="P47" i="3"/>
  <c r="R47" i="3" s="1"/>
  <c r="L47" i="3"/>
  <c r="R46" i="3"/>
  <c r="P46" i="3"/>
  <c r="Y45" i="3"/>
  <c r="U45" i="3"/>
  <c r="O45" i="3"/>
  <c r="N45" i="3"/>
  <c r="I45" i="3"/>
  <c r="H45" i="3"/>
  <c r="D45" i="3"/>
  <c r="C45" i="3"/>
  <c r="V44" i="3"/>
  <c r="V45" i="3" s="1"/>
  <c r="T44" i="3"/>
  <c r="P44" i="3"/>
  <c r="R44" i="3" s="1"/>
  <c r="O44" i="3"/>
  <c r="J44" i="3"/>
  <c r="J45" i="3" s="1"/>
  <c r="X43" i="3"/>
  <c r="W43" i="3"/>
  <c r="P43" i="3"/>
  <c r="R43" i="3" s="1"/>
  <c r="K43" i="3"/>
  <c r="L43" i="3" s="1"/>
  <c r="X42" i="3"/>
  <c r="W42" i="3"/>
  <c r="R42" i="3"/>
  <c r="P42" i="3"/>
  <c r="K42" i="3"/>
  <c r="L42" i="3" s="1"/>
  <c r="W41" i="3"/>
  <c r="X41" i="3" s="1"/>
  <c r="P41" i="3"/>
  <c r="R41" i="3" s="1"/>
  <c r="K41" i="3"/>
  <c r="L41" i="3" s="1"/>
  <c r="W40" i="3"/>
  <c r="X40" i="3" s="1"/>
  <c r="R40" i="3"/>
  <c r="P40" i="3"/>
  <c r="L40" i="3"/>
  <c r="K40" i="3"/>
  <c r="X39" i="3"/>
  <c r="W39" i="3"/>
  <c r="P39" i="3"/>
  <c r="R39" i="3" s="1"/>
  <c r="K39" i="3"/>
  <c r="L39" i="3" s="1"/>
  <c r="W38" i="3"/>
  <c r="X38" i="3" s="1"/>
  <c r="P38" i="3"/>
  <c r="R38" i="3" s="1"/>
  <c r="L38" i="3"/>
  <c r="K38" i="3"/>
  <c r="W37" i="3"/>
  <c r="X37" i="3" s="1"/>
  <c r="R37" i="3"/>
  <c r="P37" i="3"/>
  <c r="K37" i="3"/>
  <c r="E37" i="3"/>
  <c r="W36" i="3"/>
  <c r="X36" i="3" s="1"/>
  <c r="R36" i="3"/>
  <c r="P36" i="3"/>
  <c r="K36" i="3"/>
  <c r="L36" i="3" s="1"/>
  <c r="X35" i="3"/>
  <c r="W35" i="3"/>
  <c r="P35" i="3"/>
  <c r="R35" i="3" s="1"/>
  <c r="K35" i="3"/>
  <c r="X34" i="3"/>
  <c r="W34" i="3"/>
  <c r="R34" i="3"/>
  <c r="P34" i="3"/>
  <c r="L34" i="3"/>
  <c r="K34" i="3"/>
  <c r="W33" i="3"/>
  <c r="X33" i="3" s="1"/>
  <c r="P33" i="3"/>
  <c r="R33" i="3" s="1"/>
  <c r="K33" i="3"/>
  <c r="L33" i="3" s="1"/>
  <c r="W32" i="3"/>
  <c r="X32" i="3" s="1"/>
  <c r="R32" i="3"/>
  <c r="P32" i="3"/>
  <c r="L32" i="3"/>
  <c r="K32" i="3"/>
  <c r="E32" i="3"/>
  <c r="W31" i="3"/>
  <c r="X31" i="3" s="1"/>
  <c r="R31" i="3"/>
  <c r="P31" i="3"/>
  <c r="L31" i="3"/>
  <c r="K31" i="3"/>
  <c r="X30" i="3"/>
  <c r="W30" i="3"/>
  <c r="P30" i="3"/>
  <c r="R30" i="3" s="1"/>
  <c r="L30" i="3"/>
  <c r="K30" i="3"/>
  <c r="E30" i="3"/>
  <c r="E45" i="3" s="1"/>
  <c r="X29" i="3"/>
  <c r="W29" i="3"/>
  <c r="P29" i="3"/>
  <c r="R29" i="3" s="1"/>
  <c r="L29" i="3"/>
  <c r="K29" i="3"/>
  <c r="A29" i="3"/>
  <c r="A30" i="3" s="1"/>
  <c r="A32" i="3" s="1"/>
  <c r="A33" i="3" s="1"/>
  <c r="A34" i="3" s="1"/>
  <c r="A35" i="3" s="1"/>
  <c r="A36" i="3" s="1"/>
  <c r="A37" i="3" s="1"/>
  <c r="A38" i="3" s="1"/>
  <c r="A39" i="3" s="1"/>
  <c r="A40" i="3" s="1"/>
  <c r="A41" i="3" s="1"/>
  <c r="A42" i="3" s="1"/>
  <c r="A44" i="3" s="1"/>
  <c r="A45" i="3" s="1"/>
  <c r="A46" i="3" s="1"/>
  <c r="A47" i="3" s="1"/>
  <c r="A48" i="3" s="1"/>
  <c r="A49" i="3" s="1"/>
  <c r="A50" i="3" s="1"/>
  <c r="A51" i="3" s="1"/>
  <c r="A52" i="3" s="1"/>
  <c r="A53" i="3" s="1"/>
  <c r="A54" i="3" s="1"/>
  <c r="W28" i="3"/>
  <c r="X28" i="3" s="1"/>
  <c r="P28" i="3"/>
  <c r="R28" i="3" s="1"/>
  <c r="K28" i="3"/>
  <c r="L28" i="3" s="1"/>
  <c r="A28" i="3"/>
  <c r="X27" i="3"/>
  <c r="W27" i="3"/>
  <c r="O27" i="3"/>
  <c r="P27" i="3" s="1"/>
  <c r="R27" i="3" s="1"/>
  <c r="K27" i="3"/>
  <c r="L27" i="3" s="1"/>
  <c r="W26" i="3"/>
  <c r="X26" i="3" s="1"/>
  <c r="P26" i="3"/>
  <c r="R26" i="3" s="1"/>
  <c r="L26" i="3"/>
  <c r="K26" i="3"/>
  <c r="P25" i="3"/>
  <c r="R25" i="3" s="1"/>
  <c r="L25" i="3"/>
  <c r="V24" i="3"/>
  <c r="U24" i="3"/>
  <c r="T24" i="3"/>
  <c r="O24" i="3"/>
  <c r="N24" i="3"/>
  <c r="J24" i="3"/>
  <c r="I24" i="3"/>
  <c r="H24" i="3"/>
  <c r="G24" i="3"/>
  <c r="F24" i="3"/>
  <c r="D24" i="3"/>
  <c r="C24" i="3"/>
  <c r="W23" i="3"/>
  <c r="X23" i="3" s="1"/>
  <c r="P23" i="3"/>
  <c r="R23" i="3" s="1"/>
  <c r="K23" i="3"/>
  <c r="A23" i="3"/>
  <c r="A24" i="3" s="1"/>
  <c r="A25" i="3" s="1"/>
  <c r="X22" i="3"/>
  <c r="W22" i="3"/>
  <c r="P22" i="3"/>
  <c r="R22" i="3" s="1"/>
  <c r="K22" i="3"/>
  <c r="L22" i="3" s="1"/>
  <c r="W21" i="3"/>
  <c r="X21" i="3" s="1"/>
  <c r="R21" i="3"/>
  <c r="P21" i="3"/>
  <c r="K21" i="3"/>
  <c r="X20" i="3"/>
  <c r="W20" i="3"/>
  <c r="R20" i="3"/>
  <c r="P20" i="3"/>
  <c r="K20" i="3"/>
  <c r="W19" i="3"/>
  <c r="X19" i="3" s="1"/>
  <c r="R19" i="3"/>
  <c r="P19" i="3"/>
  <c r="L19" i="3"/>
  <c r="K19" i="3"/>
  <c r="E19" i="3"/>
  <c r="W18" i="3"/>
  <c r="X18" i="3" s="1"/>
  <c r="R18" i="3"/>
  <c r="P18" i="3"/>
  <c r="K18" i="3"/>
  <c r="W17" i="3"/>
  <c r="X17" i="3" s="1"/>
  <c r="P17" i="3"/>
  <c r="R17" i="3" s="1"/>
  <c r="K17" i="3"/>
  <c r="X16" i="3"/>
  <c r="W16" i="3"/>
  <c r="P16" i="3"/>
  <c r="R16" i="3" s="1"/>
  <c r="K16" i="3"/>
  <c r="X15" i="3"/>
  <c r="W15" i="3"/>
  <c r="R15" i="3"/>
  <c r="P15" i="3"/>
  <c r="K15" i="3"/>
  <c r="L15" i="3" s="1"/>
  <c r="A15" i="3"/>
  <c r="A16" i="3" s="1"/>
  <c r="A17" i="3" s="1"/>
  <c r="A18" i="3" s="1"/>
  <c r="A19" i="3" s="1"/>
  <c r="A20" i="3" s="1"/>
  <c r="W14" i="3"/>
  <c r="X14" i="3" s="1"/>
  <c r="P14" i="3"/>
  <c r="R14" i="3" s="1"/>
  <c r="K14" i="3"/>
  <c r="W13" i="3"/>
  <c r="X13" i="3" s="1"/>
  <c r="P13" i="3"/>
  <c r="R13" i="3" s="1"/>
  <c r="L13" i="3"/>
  <c r="K13" i="3"/>
  <c r="E13" i="3"/>
  <c r="E24" i="3" s="1"/>
  <c r="W12" i="3"/>
  <c r="X12" i="3" s="1"/>
  <c r="R12" i="3"/>
  <c r="P12" i="3"/>
  <c r="K12" i="3"/>
  <c r="L12" i="3" s="1"/>
  <c r="X11" i="3"/>
  <c r="W11" i="3"/>
  <c r="P11" i="3"/>
  <c r="R11" i="3" s="1"/>
  <c r="K11" i="3"/>
  <c r="X10" i="3"/>
  <c r="W10" i="3"/>
  <c r="R10" i="3"/>
  <c r="P10" i="3"/>
  <c r="K10" i="3"/>
  <c r="L10" i="3" s="1"/>
  <c r="W9" i="3"/>
  <c r="P9" i="3"/>
  <c r="P24" i="3" s="1"/>
  <c r="R24" i="3" s="1"/>
  <c r="L9" i="3"/>
  <c r="X8" i="3"/>
  <c r="W8" i="3"/>
  <c r="P8" i="3"/>
  <c r="R8" i="3" s="1"/>
  <c r="A6" i="3"/>
  <c r="A7" i="3" s="1"/>
  <c r="A8" i="3" s="1"/>
  <c r="A9" i="3" s="1"/>
  <c r="A10" i="3" s="1"/>
  <c r="A11" i="3" s="1"/>
  <c r="A12" i="3" s="1"/>
  <c r="K68" i="2"/>
  <c r="J68" i="2"/>
  <c r="J52" i="2"/>
  <c r="F47" i="2"/>
  <c r="N41" i="2"/>
  <c r="H41" i="2"/>
  <c r="E41" i="2"/>
  <c r="E50" i="1" s="1"/>
  <c r="V40" i="2"/>
  <c r="W40" i="2" s="1"/>
  <c r="T40" i="2"/>
  <c r="O40" i="2"/>
  <c r="P40" i="2" s="1"/>
  <c r="R40" i="2" s="1"/>
  <c r="K40" i="2"/>
  <c r="P39" i="2"/>
  <c r="L39" i="2"/>
  <c r="A39" i="2"/>
  <c r="A40" i="2" s="1"/>
  <c r="V38" i="2"/>
  <c r="U38" i="2"/>
  <c r="T38" i="2"/>
  <c r="O38" i="2"/>
  <c r="N38" i="2"/>
  <c r="J38" i="2"/>
  <c r="I38" i="2"/>
  <c r="F38" i="2"/>
  <c r="E38" i="2"/>
  <c r="D38" i="2"/>
  <c r="C38" i="2"/>
  <c r="W37" i="2"/>
  <c r="X37" i="2" s="1"/>
  <c r="P37" i="2"/>
  <c r="R37" i="2" s="1"/>
  <c r="L37" i="2"/>
  <c r="W36" i="2"/>
  <c r="X36" i="2" s="1"/>
  <c r="P36" i="2"/>
  <c r="R36" i="2" s="1"/>
  <c r="L36" i="2"/>
  <c r="K36" i="2"/>
  <c r="X35" i="2"/>
  <c r="W35" i="2"/>
  <c r="R35" i="2"/>
  <c r="P35" i="2"/>
  <c r="K35" i="2"/>
  <c r="L35" i="2" s="1"/>
  <c r="W34" i="2"/>
  <c r="X34" i="2" s="1"/>
  <c r="P34" i="2"/>
  <c r="R34" i="2" s="1"/>
  <c r="K34" i="2"/>
  <c r="L34" i="2" s="1"/>
  <c r="W33" i="2"/>
  <c r="X33" i="2" s="1"/>
  <c r="R33" i="2"/>
  <c r="P33" i="2"/>
  <c r="L33" i="2"/>
  <c r="K33" i="2"/>
  <c r="X32" i="2"/>
  <c r="W32" i="2"/>
  <c r="P32" i="2"/>
  <c r="R32" i="2" s="1"/>
  <c r="K32" i="2"/>
  <c r="L32" i="2" s="1"/>
  <c r="W31" i="2"/>
  <c r="X31" i="2" s="1"/>
  <c r="R31" i="2"/>
  <c r="P31" i="2"/>
  <c r="K31" i="2"/>
  <c r="L31" i="2" s="1"/>
  <c r="X30" i="2"/>
  <c r="W30" i="2"/>
  <c r="P30" i="2"/>
  <c r="R30" i="2" s="1"/>
  <c r="K30" i="2"/>
  <c r="L30" i="2" s="1"/>
  <c r="A30" i="2"/>
  <c r="A31" i="2" s="1"/>
  <c r="A33" i="2" s="1"/>
  <c r="A34" i="2" s="1"/>
  <c r="A35" i="2" s="1"/>
  <c r="A36" i="2" s="1"/>
  <c r="W29" i="2"/>
  <c r="X29" i="2" s="1"/>
  <c r="P29" i="2"/>
  <c r="R29" i="2" s="1"/>
  <c r="L29" i="2"/>
  <c r="K29" i="2"/>
  <c r="X28" i="2"/>
  <c r="W28" i="2"/>
  <c r="R28" i="2"/>
  <c r="P28" i="2"/>
  <c r="K28" i="2"/>
  <c r="L28" i="2" s="1"/>
  <c r="A28" i="2"/>
  <c r="A29" i="2" s="1"/>
  <c r="W27" i="2"/>
  <c r="X27" i="2" s="1"/>
  <c r="P27" i="2"/>
  <c r="R27" i="2" s="1"/>
  <c r="L27" i="2"/>
  <c r="K27" i="2"/>
  <c r="X26" i="2"/>
  <c r="W26" i="2"/>
  <c r="P26" i="2"/>
  <c r="R26" i="2" s="1"/>
  <c r="K26" i="2"/>
  <c r="L26" i="2" s="1"/>
  <c r="W25" i="2"/>
  <c r="X25" i="2" s="1"/>
  <c r="P25" i="2"/>
  <c r="R25" i="2" s="1"/>
  <c r="L25" i="2"/>
  <c r="X24" i="2"/>
  <c r="W24" i="2"/>
  <c r="P24" i="2"/>
  <c r="R24" i="2" s="1"/>
  <c r="L24" i="2"/>
  <c r="X23" i="2"/>
  <c r="W23" i="2"/>
  <c r="R23" i="2"/>
  <c r="P23" i="2"/>
  <c r="K23" i="2"/>
  <c r="L23" i="2" s="1"/>
  <c r="W22" i="2"/>
  <c r="X22" i="2" s="1"/>
  <c r="R22" i="2"/>
  <c r="P22" i="2"/>
  <c r="L22" i="2"/>
  <c r="K22" i="2"/>
  <c r="W21" i="2"/>
  <c r="X21" i="2" s="1"/>
  <c r="P21" i="2"/>
  <c r="R21" i="2" s="1"/>
  <c r="L21" i="2"/>
  <c r="X20" i="2"/>
  <c r="W20" i="2"/>
  <c r="P20" i="2"/>
  <c r="R20" i="2" s="1"/>
  <c r="L20" i="2"/>
  <c r="X19" i="2"/>
  <c r="W19" i="2"/>
  <c r="R19" i="2"/>
  <c r="P19" i="2"/>
  <c r="L19" i="2"/>
  <c r="W18" i="2"/>
  <c r="X18" i="2" s="1"/>
  <c r="R18" i="2"/>
  <c r="P18" i="2"/>
  <c r="L18" i="2"/>
  <c r="W17" i="2"/>
  <c r="X17" i="2" s="1"/>
  <c r="P17" i="2"/>
  <c r="R17" i="2" s="1"/>
  <c r="L17" i="2"/>
  <c r="X16" i="2"/>
  <c r="W16" i="2"/>
  <c r="P16" i="2"/>
  <c r="R16" i="2" s="1"/>
  <c r="L16" i="2"/>
  <c r="X15" i="2"/>
  <c r="W15" i="2"/>
  <c r="R15" i="2"/>
  <c r="P15" i="2"/>
  <c r="K15" i="2"/>
  <c r="L15" i="2" s="1"/>
  <c r="W14" i="2"/>
  <c r="X14" i="2" s="1"/>
  <c r="P14" i="2"/>
  <c r="R14" i="2" s="1"/>
  <c r="K14" i="2"/>
  <c r="G14" i="2"/>
  <c r="W13" i="2"/>
  <c r="L13" i="2"/>
  <c r="L12" i="2"/>
  <c r="L11" i="2"/>
  <c r="W10" i="2"/>
  <c r="V10" i="2"/>
  <c r="U10" i="2"/>
  <c r="T10" i="2"/>
  <c r="P10" i="2"/>
  <c r="O10" i="2"/>
  <c r="N10" i="2"/>
  <c r="I10" i="2"/>
  <c r="I41" i="2" s="1"/>
  <c r="I50" i="1" s="1"/>
  <c r="H10" i="2"/>
  <c r="G10" i="2"/>
  <c r="F10" i="2"/>
  <c r="E10" i="2"/>
  <c r="D10" i="2"/>
  <c r="D41" i="2" s="1"/>
  <c r="C10" i="2"/>
  <c r="C41" i="2" s="1"/>
  <c r="X9" i="2"/>
  <c r="W9" i="2"/>
  <c r="R9" i="2"/>
  <c r="P9" i="2"/>
  <c r="K9" i="2"/>
  <c r="J9" i="2"/>
  <c r="G9" i="2"/>
  <c r="W8" i="2"/>
  <c r="X8" i="2" s="1"/>
  <c r="X10" i="2" s="1"/>
  <c r="P8" i="2"/>
  <c r="R8" i="2" s="1"/>
  <c r="L8" i="2"/>
  <c r="J8" i="2"/>
  <c r="K8" i="2" s="1"/>
  <c r="G8" i="2"/>
  <c r="A8" i="2"/>
  <c r="A9" i="2" s="1"/>
  <c r="A10" i="2" s="1"/>
  <c r="A11" i="2" s="1"/>
  <c r="A12" i="2" s="1"/>
  <c r="A13" i="2" s="1"/>
  <c r="A14" i="2" s="1"/>
  <c r="A15" i="2" s="1"/>
  <c r="A16" i="2" s="1"/>
  <c r="A17" i="2" s="1"/>
  <c r="A18" i="2" s="1"/>
  <c r="A19" i="2" s="1"/>
  <c r="A20" i="2" s="1"/>
  <c r="A21" i="2" s="1"/>
  <c r="A24" i="2" s="1"/>
  <c r="A25" i="2" s="1"/>
  <c r="A26" i="2" s="1"/>
  <c r="X61" i="1"/>
  <c r="W61" i="1"/>
  <c r="K61" i="1"/>
  <c r="K60" i="1"/>
  <c r="C60" i="1"/>
  <c r="D59" i="1"/>
  <c r="U58" i="1"/>
  <c r="N58" i="1"/>
  <c r="J58" i="1"/>
  <c r="I58" i="1"/>
  <c r="G58" i="1"/>
  <c r="F58" i="1"/>
  <c r="E58" i="1"/>
  <c r="D58" i="1"/>
  <c r="U57" i="1"/>
  <c r="G57" i="1"/>
  <c r="F57" i="1"/>
  <c r="E57" i="1"/>
  <c r="D57" i="1"/>
  <c r="N56" i="1"/>
  <c r="I56" i="1"/>
  <c r="D56" i="1"/>
  <c r="E54" i="1"/>
  <c r="D54" i="1"/>
  <c r="I53" i="1"/>
  <c r="E53" i="1"/>
  <c r="D53" i="1"/>
  <c r="U52" i="1"/>
  <c r="N52" i="1"/>
  <c r="I52" i="1"/>
  <c r="E52" i="1"/>
  <c r="D52" i="1"/>
  <c r="C52" i="1"/>
  <c r="U51" i="1"/>
  <c r="D51" i="1"/>
  <c r="N50" i="1"/>
  <c r="D50" i="1"/>
  <c r="C50" i="1"/>
  <c r="M44" i="1"/>
  <c r="M64" i="1" s="1"/>
  <c r="H44" i="1"/>
  <c r="D44" i="1"/>
  <c r="A44" i="1"/>
  <c r="W43" i="1"/>
  <c r="X43" i="1" s="1"/>
  <c r="P43" i="1"/>
  <c r="L43" i="1"/>
  <c r="K43" i="1"/>
  <c r="A43" i="1"/>
  <c r="X42" i="1"/>
  <c r="W42" i="1"/>
  <c r="P42" i="1"/>
  <c r="L42" i="1"/>
  <c r="K42" i="1"/>
  <c r="A42" i="1"/>
  <c r="W41" i="1"/>
  <c r="X41" i="1" s="1"/>
  <c r="P41" i="1"/>
  <c r="L41" i="1"/>
  <c r="K41" i="1"/>
  <c r="W40" i="1"/>
  <c r="X40" i="1" s="1"/>
  <c r="V40" i="1"/>
  <c r="P40" i="1"/>
  <c r="K40" i="1"/>
  <c r="E40" i="1"/>
  <c r="P39" i="1"/>
  <c r="V38" i="1"/>
  <c r="W38" i="1" s="1"/>
  <c r="X38" i="1" s="1"/>
  <c r="P38" i="1"/>
  <c r="K38" i="1"/>
  <c r="U37" i="1"/>
  <c r="U44" i="1" s="1"/>
  <c r="T37" i="1"/>
  <c r="O37" i="1"/>
  <c r="R37" i="1" s="1"/>
  <c r="M37" i="1"/>
  <c r="G37" i="1"/>
  <c r="G44" i="1" s="1"/>
  <c r="F37" i="1"/>
  <c r="F44" i="1" s="1"/>
  <c r="E37" i="1"/>
  <c r="E44" i="1" s="1"/>
  <c r="X36" i="1"/>
  <c r="W36" i="1"/>
  <c r="R36" i="1"/>
  <c r="P36" i="1"/>
  <c r="K36" i="1"/>
  <c r="L36" i="1" s="1"/>
  <c r="X35" i="1"/>
  <c r="W35" i="1"/>
  <c r="V35" i="1"/>
  <c r="R35" i="1"/>
  <c r="P35" i="1"/>
  <c r="K35" i="1"/>
  <c r="L35" i="1" s="1"/>
  <c r="X34" i="1"/>
  <c r="W34" i="1"/>
  <c r="V34" i="1"/>
  <c r="R34" i="1"/>
  <c r="P34" i="1"/>
  <c r="K34" i="1"/>
  <c r="L34" i="1" s="1"/>
  <c r="C34" i="1"/>
  <c r="C37" i="1" s="1"/>
  <c r="C44" i="1" s="1"/>
  <c r="V33" i="1"/>
  <c r="W33" i="1" s="1"/>
  <c r="X33" i="1" s="1"/>
  <c r="R33" i="1"/>
  <c r="P33" i="1"/>
  <c r="K33" i="1"/>
  <c r="L33" i="1" s="1"/>
  <c r="X32" i="1"/>
  <c r="W32" i="1"/>
  <c r="R32" i="1"/>
  <c r="P32" i="1"/>
  <c r="K32" i="1"/>
  <c r="L32" i="1" s="1"/>
  <c r="X31" i="1"/>
  <c r="W31" i="1"/>
  <c r="V31" i="1"/>
  <c r="R31" i="1"/>
  <c r="P31" i="1"/>
  <c r="K31" i="1"/>
  <c r="L31" i="1" s="1"/>
  <c r="X30" i="1"/>
  <c r="W30" i="1"/>
  <c r="V30" i="1"/>
  <c r="R30" i="1"/>
  <c r="P30" i="1"/>
  <c r="K30" i="1"/>
  <c r="L30" i="1" s="1"/>
  <c r="X29" i="1"/>
  <c r="W29" i="1"/>
  <c r="R29" i="1"/>
  <c r="P29" i="1"/>
  <c r="L29" i="1"/>
  <c r="K29" i="1"/>
  <c r="W28" i="1"/>
  <c r="X28" i="1" s="1"/>
  <c r="V28" i="1"/>
  <c r="R28" i="1"/>
  <c r="P28" i="1"/>
  <c r="L28" i="1"/>
  <c r="K28" i="1"/>
  <c r="W27" i="1"/>
  <c r="X27" i="1" s="1"/>
  <c r="X37" i="1" s="1"/>
  <c r="V27" i="1"/>
  <c r="V37" i="1" s="1"/>
  <c r="R27" i="1"/>
  <c r="N27" i="1"/>
  <c r="N37" i="1" s="1"/>
  <c r="N44" i="1" s="1"/>
  <c r="K27" i="1"/>
  <c r="L27" i="1" s="1"/>
  <c r="X26" i="1"/>
  <c r="W26" i="1"/>
  <c r="V26" i="1"/>
  <c r="R26" i="1"/>
  <c r="P26" i="1"/>
  <c r="K26" i="1"/>
  <c r="L26" i="1" s="1"/>
  <c r="A26" i="1"/>
  <c r="A27" i="1" s="1"/>
  <c r="A28" i="1" s="1"/>
  <c r="A29" i="1" s="1"/>
  <c r="A30" i="1" s="1"/>
  <c r="A31" i="1" s="1"/>
  <c r="A32" i="1" s="1"/>
  <c r="A33" i="1" s="1"/>
  <c r="A34" i="1" s="1"/>
  <c r="A35" i="1" s="1"/>
  <c r="A36" i="1" s="1"/>
  <c r="A37" i="1" s="1"/>
  <c r="A38" i="1" s="1"/>
  <c r="V25" i="1"/>
  <c r="W25" i="1" s="1"/>
  <c r="T25" i="1"/>
  <c r="P25" i="1"/>
  <c r="K25" i="1"/>
  <c r="L25" i="1" s="1"/>
  <c r="V24" i="1"/>
  <c r="W24" i="1" s="1"/>
  <c r="X24" i="1" s="1"/>
  <c r="R24" i="1"/>
  <c r="P24" i="1"/>
  <c r="K24" i="1"/>
  <c r="L24" i="1" s="1"/>
  <c r="X23" i="1"/>
  <c r="W23" i="1"/>
  <c r="V23" i="1"/>
  <c r="R23" i="1"/>
  <c r="P23" i="1"/>
  <c r="K23" i="1"/>
  <c r="L23" i="1" s="1"/>
  <c r="W22" i="1"/>
  <c r="X22" i="1" s="1"/>
  <c r="V22" i="1"/>
  <c r="R22" i="1"/>
  <c r="P22" i="1"/>
  <c r="L22" i="1"/>
  <c r="K22" i="1"/>
  <c r="C22" i="1"/>
  <c r="P21" i="1"/>
  <c r="V20" i="1"/>
  <c r="W20" i="1" s="1"/>
  <c r="X20" i="1" s="1"/>
  <c r="W19" i="1"/>
  <c r="X19" i="1" s="1"/>
  <c r="V19" i="1"/>
  <c r="R19" i="1"/>
  <c r="P19" i="1"/>
  <c r="L19" i="1"/>
  <c r="K19" i="1"/>
  <c r="V18" i="1"/>
  <c r="W18" i="1" s="1"/>
  <c r="X18" i="1" s="1"/>
  <c r="R18" i="1"/>
  <c r="P18" i="1"/>
  <c r="K18" i="1"/>
  <c r="L18" i="1" s="1"/>
  <c r="G18" i="1"/>
  <c r="W17" i="1"/>
  <c r="X17" i="1" s="1"/>
  <c r="R17" i="1"/>
  <c r="P17" i="1"/>
  <c r="K17" i="1"/>
  <c r="L17" i="1" s="1"/>
  <c r="W16" i="1"/>
  <c r="X16" i="1" s="1"/>
  <c r="R16" i="1"/>
  <c r="P16" i="1"/>
  <c r="L16" i="1"/>
  <c r="K16" i="1"/>
  <c r="V15" i="1"/>
  <c r="W15" i="1" s="1"/>
  <c r="X15" i="1" s="1"/>
  <c r="R15" i="1"/>
  <c r="P15" i="1"/>
  <c r="L15" i="1"/>
  <c r="W14" i="1"/>
  <c r="X14" i="1" s="1"/>
  <c r="O14" i="1"/>
  <c r="R14" i="1" s="1"/>
  <c r="K14" i="1"/>
  <c r="G14" i="1"/>
  <c r="W13" i="1"/>
  <c r="X13" i="1" s="1"/>
  <c r="V13" i="1"/>
  <c r="R13" i="1"/>
  <c r="P13" i="1"/>
  <c r="K13" i="1"/>
  <c r="W12" i="1"/>
  <c r="X12" i="1" s="1"/>
  <c r="R12" i="1"/>
  <c r="P12" i="1"/>
  <c r="K12" i="1"/>
  <c r="L12" i="1" s="1"/>
  <c r="V11" i="1"/>
  <c r="W11" i="1" s="1"/>
  <c r="X11" i="1" s="1"/>
  <c r="R11" i="1"/>
  <c r="P11" i="1"/>
  <c r="K11" i="1"/>
  <c r="W10" i="1"/>
  <c r="X10" i="1" s="1"/>
  <c r="R10" i="1"/>
  <c r="P10" i="1"/>
  <c r="K10" i="1"/>
  <c r="K9" i="1"/>
  <c r="O9" i="1" s="1"/>
  <c r="C9" i="1"/>
  <c r="R8" i="1"/>
  <c r="P8" i="1"/>
  <c r="A8" i="1"/>
  <c r="A9" i="1" s="1"/>
  <c r="A10" i="1" s="1"/>
  <c r="A12" i="1" s="1"/>
  <c r="A13" i="1" s="1"/>
  <c r="A14" i="1" s="1"/>
  <c r="A15" i="1" s="1"/>
  <c r="A16" i="1" s="1"/>
  <c r="A17" i="1" s="1"/>
  <c r="X51" i="8" l="1"/>
  <c r="O65" i="7"/>
  <c r="W18" i="10"/>
  <c r="T20" i="10"/>
  <c r="T36" i="10"/>
  <c r="O20" i="4"/>
  <c r="O52" i="1" s="1"/>
  <c r="T41" i="2"/>
  <c r="T50" i="1" s="1"/>
  <c r="L11" i="10"/>
  <c r="T13" i="10"/>
  <c r="T29" i="10"/>
  <c r="J58" i="7"/>
  <c r="T52" i="8"/>
  <c r="V41" i="2"/>
  <c r="V50" i="1" s="1"/>
  <c r="K44" i="3"/>
  <c r="K93" i="7"/>
  <c r="L93" i="7" s="1"/>
  <c r="O51" i="9"/>
  <c r="O53" i="9" s="1"/>
  <c r="X19" i="8"/>
  <c r="W28" i="8"/>
  <c r="P20" i="4"/>
  <c r="P52" i="1" s="1"/>
  <c r="R52" i="1" s="1"/>
  <c r="R40" i="8"/>
  <c r="J52" i="8"/>
  <c r="P19" i="5"/>
  <c r="R19" i="5" s="1"/>
  <c r="O20" i="5"/>
  <c r="P145" i="9"/>
  <c r="R145" i="9" s="1"/>
  <c r="O146" i="9"/>
  <c r="V20" i="4"/>
  <c r="V52" i="1" s="1"/>
  <c r="O169" i="6"/>
  <c r="K77" i="7"/>
  <c r="L77" i="7" s="1"/>
  <c r="K25" i="8"/>
  <c r="L25" i="8" s="1"/>
  <c r="O51" i="8"/>
  <c r="P51" i="8" s="1"/>
  <c r="R51" i="8" s="1"/>
  <c r="X64" i="9"/>
  <c r="K72" i="9"/>
  <c r="L72" i="9" s="1"/>
  <c r="V99" i="9"/>
  <c r="P9" i="10"/>
  <c r="L19" i="10"/>
  <c r="W23" i="10"/>
  <c r="T27" i="10"/>
  <c r="L32" i="10"/>
  <c r="V37" i="10"/>
  <c r="K48" i="5"/>
  <c r="X50" i="9"/>
  <c r="O72" i="9"/>
  <c r="O74" i="9" s="1"/>
  <c r="N42" i="10"/>
  <c r="T15" i="10"/>
  <c r="P18" i="10"/>
  <c r="T21" i="10"/>
  <c r="T28" i="10"/>
  <c r="K59" i="8"/>
  <c r="L15" i="10"/>
  <c r="T23" i="10"/>
  <c r="P25" i="10"/>
  <c r="L35" i="10"/>
  <c r="T39" i="10"/>
  <c r="P26" i="10"/>
  <c r="P33" i="10"/>
  <c r="T38" i="10"/>
  <c r="P41" i="10"/>
  <c r="X81" i="9"/>
  <c r="K42" i="10"/>
  <c r="P13" i="10"/>
  <c r="V142" i="6"/>
  <c r="W142" i="6" s="1"/>
  <c r="X142" i="6" s="1"/>
  <c r="F203" i="6"/>
  <c r="J51" i="9"/>
  <c r="J53" i="9" s="1"/>
  <c r="X49" i="9"/>
  <c r="K145" i="9"/>
  <c r="T11" i="10"/>
  <c r="L23" i="10"/>
  <c r="P29" i="10"/>
  <c r="T31" i="10"/>
  <c r="L39" i="10"/>
  <c r="W20" i="4"/>
  <c r="W52" i="1" s="1"/>
  <c r="T12" i="10"/>
  <c r="P17" i="10"/>
  <c r="P21" i="10"/>
  <c r="P37" i="10"/>
  <c r="C120" i="3"/>
  <c r="X93" i="7"/>
  <c r="V94" i="7"/>
  <c r="X25" i="8"/>
  <c r="W56" i="7"/>
  <c r="X56" i="7" s="1"/>
  <c r="X58" i="7" s="1"/>
  <c r="X72" i="9"/>
  <c r="X74" i="9" s="1"/>
  <c r="V67" i="9"/>
  <c r="V58" i="1" s="1"/>
  <c r="C51" i="9"/>
  <c r="C53" i="9" s="1"/>
  <c r="C57" i="1" s="1"/>
  <c r="C82" i="9"/>
  <c r="C58" i="5"/>
  <c r="C53" i="1" s="1"/>
  <c r="O56" i="5"/>
  <c r="P55" i="5"/>
  <c r="R55" i="5" s="1"/>
  <c r="V13" i="7"/>
  <c r="W12" i="7"/>
  <c r="X12" i="7" s="1"/>
  <c r="X25" i="1"/>
  <c r="X59" i="8"/>
  <c r="X60" i="8" s="1"/>
  <c r="S42" i="10"/>
  <c r="O41" i="2"/>
  <c r="O50" i="1" s="1"/>
  <c r="X40" i="2"/>
  <c r="O105" i="3"/>
  <c r="P105" i="3" s="1"/>
  <c r="R105" i="3" s="1"/>
  <c r="X16" i="4"/>
  <c r="X33" i="5"/>
  <c r="P54" i="7"/>
  <c r="R54" i="7" s="1"/>
  <c r="P93" i="7"/>
  <c r="R93" i="7" s="1"/>
  <c r="O52" i="8"/>
  <c r="T60" i="8"/>
  <c r="T62" i="8" s="1"/>
  <c r="T56" i="1" s="1"/>
  <c r="L18" i="10"/>
  <c r="L34" i="10"/>
  <c r="R25" i="1"/>
  <c r="X65" i="9"/>
  <c r="W22" i="10"/>
  <c r="V34" i="5"/>
  <c r="X48" i="5"/>
  <c r="X49" i="5" s="1"/>
  <c r="P161" i="6"/>
  <c r="R161" i="6" s="1"/>
  <c r="V60" i="8"/>
  <c r="O67" i="9"/>
  <c r="O58" i="1" s="1"/>
  <c r="L10" i="10"/>
  <c r="L27" i="10"/>
  <c r="R20" i="1"/>
  <c r="V68" i="7"/>
  <c r="X20" i="9"/>
  <c r="K48" i="9"/>
  <c r="L48" i="9" s="1"/>
  <c r="K81" i="9"/>
  <c r="L81" i="9" s="1"/>
  <c r="V13" i="10"/>
  <c r="V21" i="10"/>
  <c r="V25" i="10"/>
  <c r="V29" i="10"/>
  <c r="V41" i="10"/>
  <c r="J100" i="9"/>
  <c r="J147" i="9" s="1"/>
  <c r="J59" i="1" s="1"/>
  <c r="W11" i="10"/>
  <c r="V78" i="7"/>
  <c r="P25" i="8"/>
  <c r="R25" i="8" s="1"/>
  <c r="L16" i="10"/>
  <c r="T37" i="10"/>
  <c r="R9" i="1"/>
  <c r="T9" i="1" s="1"/>
  <c r="P9" i="1"/>
  <c r="L37" i="1"/>
  <c r="U41" i="2"/>
  <c r="U50" i="1" s="1"/>
  <c r="K38" i="2"/>
  <c r="K67" i="3"/>
  <c r="K101" i="3"/>
  <c r="X53" i="5"/>
  <c r="L15" i="4"/>
  <c r="E20" i="4"/>
  <c r="R199" i="6"/>
  <c r="P27" i="1"/>
  <c r="P37" i="1" s="1"/>
  <c r="K37" i="1"/>
  <c r="K10" i="2"/>
  <c r="W24" i="3"/>
  <c r="X9" i="3"/>
  <c r="X24" i="3" s="1"/>
  <c r="L101" i="3"/>
  <c r="W37" i="1"/>
  <c r="L37" i="3"/>
  <c r="W57" i="3"/>
  <c r="X49" i="3"/>
  <c r="X57" i="3" s="1"/>
  <c r="E122" i="3"/>
  <c r="E51" i="1" s="1"/>
  <c r="W34" i="5"/>
  <c r="X101" i="3"/>
  <c r="G38" i="2"/>
  <c r="L38" i="2" s="1"/>
  <c r="L14" i="2"/>
  <c r="L67" i="3"/>
  <c r="W86" i="3"/>
  <c r="X73" i="3"/>
  <c r="J105" i="3"/>
  <c r="J122" i="3" s="1"/>
  <c r="J51" i="1" s="1"/>
  <c r="P120" i="3"/>
  <c r="R116" i="3"/>
  <c r="J20" i="4"/>
  <c r="J52" i="1" s="1"/>
  <c r="K16" i="4"/>
  <c r="K20" i="4" s="1"/>
  <c r="K52" i="1" s="1"/>
  <c r="K49" i="5"/>
  <c r="R52" i="5"/>
  <c r="L9" i="1"/>
  <c r="P14" i="1"/>
  <c r="O44" i="1"/>
  <c r="L9" i="2"/>
  <c r="P38" i="2"/>
  <c r="R38" i="2" s="1"/>
  <c r="T45" i="3"/>
  <c r="T122" i="3" s="1"/>
  <c r="T51" i="1" s="1"/>
  <c r="X86" i="3"/>
  <c r="C105" i="3"/>
  <c r="N122" i="3"/>
  <c r="N51" i="1" s="1"/>
  <c r="X117" i="3"/>
  <c r="P41" i="2"/>
  <c r="R10" i="2"/>
  <c r="X13" i="2"/>
  <c r="X38" i="2" s="1"/>
  <c r="X41" i="2" s="1"/>
  <c r="X50" i="1" s="1"/>
  <c r="W38" i="2"/>
  <c r="W41" i="2" s="1"/>
  <c r="W50" i="1" s="1"/>
  <c r="K45" i="3"/>
  <c r="V122" i="3"/>
  <c r="V51" i="1" s="1"/>
  <c r="O120" i="3"/>
  <c r="K20" i="5"/>
  <c r="L11" i="5"/>
  <c r="K56" i="5"/>
  <c r="P45" i="3"/>
  <c r="R45" i="3" s="1"/>
  <c r="P86" i="3"/>
  <c r="R86" i="3" s="1"/>
  <c r="I122" i="3"/>
  <c r="I51" i="1" s="1"/>
  <c r="I62" i="1" s="1"/>
  <c r="I64" i="1" s="1"/>
  <c r="N58" i="5"/>
  <c r="N53" i="1" s="1"/>
  <c r="O34" i="5"/>
  <c r="U58" i="5"/>
  <c r="U53" i="1" s="1"/>
  <c r="N144" i="6"/>
  <c r="N209" i="6" s="1"/>
  <c r="N54" i="1" s="1"/>
  <c r="W44" i="3"/>
  <c r="X44" i="3" s="1"/>
  <c r="X45" i="3" s="1"/>
  <c r="P57" i="3"/>
  <c r="R57" i="3" s="1"/>
  <c r="R60" i="3"/>
  <c r="P34" i="5"/>
  <c r="R34" i="5" s="1"/>
  <c r="V49" i="5"/>
  <c r="V58" i="5" s="1"/>
  <c r="V53" i="1" s="1"/>
  <c r="X140" i="6"/>
  <c r="J144" i="6"/>
  <c r="J209" i="6" s="1"/>
  <c r="J54" i="1" s="1"/>
  <c r="K142" i="6"/>
  <c r="U203" i="6"/>
  <c r="I209" i="6"/>
  <c r="I54" i="1" s="1"/>
  <c r="N113" i="7"/>
  <c r="N55" i="1" s="1"/>
  <c r="J10" i="2"/>
  <c r="K24" i="3"/>
  <c r="L24" i="3" s="1"/>
  <c r="X8" i="4"/>
  <c r="X20" i="4" s="1"/>
  <c r="X52" i="1" s="1"/>
  <c r="P20" i="5"/>
  <c r="L22" i="5"/>
  <c r="R23" i="5"/>
  <c r="X28" i="5"/>
  <c r="X34" i="5" s="1"/>
  <c r="P48" i="5"/>
  <c r="W49" i="5"/>
  <c r="T56" i="5"/>
  <c r="T58" i="5" s="1"/>
  <c r="T53" i="1" s="1"/>
  <c r="P35" i="6"/>
  <c r="R35" i="6" s="1"/>
  <c r="R142" i="6"/>
  <c r="W47" i="7"/>
  <c r="X44" i="7"/>
  <c r="X47" i="7" s="1"/>
  <c r="K50" i="3"/>
  <c r="K57" i="3" s="1"/>
  <c r="L57" i="3" s="1"/>
  <c r="X60" i="3"/>
  <c r="X67" i="3" s="1"/>
  <c r="W101" i="3"/>
  <c r="W104" i="3"/>
  <c r="X104" i="3" s="1"/>
  <c r="X105" i="3" s="1"/>
  <c r="T20" i="4"/>
  <c r="T52" i="1" s="1"/>
  <c r="W19" i="5"/>
  <c r="X19" i="5" s="1"/>
  <c r="X20" i="5" s="1"/>
  <c r="K33" i="5"/>
  <c r="K34" i="5" s="1"/>
  <c r="W55" i="5"/>
  <c r="W56" i="5" s="1"/>
  <c r="J56" i="5"/>
  <c r="J58" i="5" s="1"/>
  <c r="J53" i="1" s="1"/>
  <c r="U144" i="6"/>
  <c r="U209" i="6" s="1"/>
  <c r="U54" i="1" s="1"/>
  <c r="T144" i="6"/>
  <c r="T209" i="6" s="1"/>
  <c r="T54" i="1" s="1"/>
  <c r="G187" i="6"/>
  <c r="L187" i="6" s="1"/>
  <c r="L183" i="6"/>
  <c r="W199" i="6"/>
  <c r="W203" i="6" s="1"/>
  <c r="X189" i="6"/>
  <c r="X199" i="6" s="1"/>
  <c r="X203" i="6" s="1"/>
  <c r="W13" i="7"/>
  <c r="X7" i="7"/>
  <c r="X13" i="7" s="1"/>
  <c r="L40" i="8"/>
  <c r="E48" i="8"/>
  <c r="L48" i="8" s="1"/>
  <c r="R89" i="3"/>
  <c r="K104" i="3"/>
  <c r="W118" i="3"/>
  <c r="X118" i="3" s="1"/>
  <c r="K120" i="3"/>
  <c r="L120" i="3" s="1"/>
  <c r="P22" i="6"/>
  <c r="R22" i="6" s="1"/>
  <c r="K61" i="6"/>
  <c r="L61" i="6" s="1"/>
  <c r="X74" i="6"/>
  <c r="P127" i="6"/>
  <c r="R127" i="6" s="1"/>
  <c r="R102" i="6"/>
  <c r="J203" i="6"/>
  <c r="P207" i="6"/>
  <c r="C13" i="7"/>
  <c r="C113" i="7" s="1"/>
  <c r="C55" i="1" s="1"/>
  <c r="X35" i="6"/>
  <c r="R9" i="3"/>
  <c r="X22" i="6"/>
  <c r="L22" i="6"/>
  <c r="K49" i="6"/>
  <c r="L49" i="6" s="1"/>
  <c r="X61" i="6"/>
  <c r="X127" i="6"/>
  <c r="P140" i="6"/>
  <c r="R140" i="6" s="1"/>
  <c r="C209" i="6"/>
  <c r="C54" i="1" s="1"/>
  <c r="X40" i="6"/>
  <c r="X49" i="6" s="1"/>
  <c r="W127" i="6"/>
  <c r="W144" i="6" s="1"/>
  <c r="K177" i="6"/>
  <c r="L177" i="6" s="1"/>
  <c r="P13" i="7"/>
  <c r="R13" i="7" s="1"/>
  <c r="P30" i="7"/>
  <c r="R30" i="7" s="1"/>
  <c r="D40" i="7"/>
  <c r="O40" i="7"/>
  <c r="X94" i="7"/>
  <c r="C62" i="8"/>
  <c r="C56" i="1" s="1"/>
  <c r="W22" i="6"/>
  <c r="W61" i="6"/>
  <c r="O144" i="6"/>
  <c r="L39" i="7"/>
  <c r="P39" i="7"/>
  <c r="L47" i="7"/>
  <c r="P58" i="7"/>
  <c r="R58" i="7" s="1"/>
  <c r="P68" i="7"/>
  <c r="R68" i="7" s="1"/>
  <c r="R61" i="7"/>
  <c r="O68" i="7"/>
  <c r="P65" i="7"/>
  <c r="R65" i="7" s="1"/>
  <c r="K78" i="7"/>
  <c r="L78" i="7" s="1"/>
  <c r="L73" i="7"/>
  <c r="W111" i="7"/>
  <c r="W112" i="7" s="1"/>
  <c r="X112" i="7" s="1"/>
  <c r="P49" i="6"/>
  <c r="R49" i="6" s="1"/>
  <c r="P162" i="6"/>
  <c r="R162" i="6" s="1"/>
  <c r="W169" i="6"/>
  <c r="X169" i="6" s="1"/>
  <c r="X170" i="6" s="1"/>
  <c r="L179" i="6"/>
  <c r="P181" i="6"/>
  <c r="R181" i="6" s="1"/>
  <c r="X30" i="7"/>
  <c r="W68" i="7"/>
  <c r="X65" i="7"/>
  <c r="X68" i="7" s="1"/>
  <c r="T68" i="7"/>
  <c r="R52" i="6"/>
  <c r="W161" i="6"/>
  <c r="W162" i="6" s="1"/>
  <c r="K169" i="6"/>
  <c r="K170" i="6" s="1"/>
  <c r="K199" i="6"/>
  <c r="K203" i="6" s="1"/>
  <c r="J13" i="7"/>
  <c r="J113" i="7" s="1"/>
  <c r="J55" i="1" s="1"/>
  <c r="U113" i="7"/>
  <c r="U55" i="1" s="1"/>
  <c r="L68" i="7"/>
  <c r="W78" i="7"/>
  <c r="R174" i="6"/>
  <c r="L7" i="7"/>
  <c r="W30" i="7"/>
  <c r="I113" i="7"/>
  <c r="I55" i="1" s="1"/>
  <c r="O78" i="7"/>
  <c r="O113" i="7" s="1"/>
  <c r="O55" i="1" s="1"/>
  <c r="P77" i="7"/>
  <c r="R77" i="7" s="1"/>
  <c r="E112" i="7"/>
  <c r="L112" i="7" s="1"/>
  <c r="K161" i="6"/>
  <c r="K162" i="6" s="1"/>
  <c r="L162" i="6" s="1"/>
  <c r="I40" i="7"/>
  <c r="Y113" i="7"/>
  <c r="X77" i="7"/>
  <c r="T78" i="7"/>
  <c r="D113" i="7"/>
  <c r="D55" i="1" s="1"/>
  <c r="D62" i="1" s="1"/>
  <c r="D64" i="1" s="1"/>
  <c r="X33" i="8"/>
  <c r="X35" i="8" s="1"/>
  <c r="T35" i="8"/>
  <c r="X77" i="6"/>
  <c r="X87" i="6" s="1"/>
  <c r="K30" i="7"/>
  <c r="L30" i="7" s="1"/>
  <c r="X33" i="7"/>
  <c r="X39" i="7" s="1"/>
  <c r="X40" i="7" s="1"/>
  <c r="W39" i="7"/>
  <c r="Y40" i="7"/>
  <c r="K47" i="7"/>
  <c r="K58" i="7"/>
  <c r="L58" i="7" s="1"/>
  <c r="P102" i="7"/>
  <c r="R102" i="7" s="1"/>
  <c r="R97" i="7"/>
  <c r="L102" i="7"/>
  <c r="O60" i="8"/>
  <c r="O62" i="8" s="1"/>
  <c r="O56" i="1" s="1"/>
  <c r="P59" i="8"/>
  <c r="R59" i="8" s="1"/>
  <c r="W67" i="9"/>
  <c r="W58" i="1" s="1"/>
  <c r="X57" i="9"/>
  <c r="R70" i="9"/>
  <c r="G146" i="9"/>
  <c r="V15" i="10"/>
  <c r="P15" i="10"/>
  <c r="W15" i="10"/>
  <c r="V31" i="10"/>
  <c r="P31" i="10"/>
  <c r="W31" i="10"/>
  <c r="W94" i="7"/>
  <c r="K102" i="7"/>
  <c r="P8" i="8"/>
  <c r="L12" i="8"/>
  <c r="J62" i="8"/>
  <c r="J56" i="1" s="1"/>
  <c r="U62" i="8"/>
  <c r="U56" i="1" s="1"/>
  <c r="P33" i="8"/>
  <c r="R38" i="8"/>
  <c r="W33" i="9"/>
  <c r="X27" i="9"/>
  <c r="X33" i="9" s="1"/>
  <c r="X45" i="9"/>
  <c r="W13" i="10"/>
  <c r="L13" i="10"/>
  <c r="T14" i="10"/>
  <c r="W14" i="10"/>
  <c r="V48" i="9"/>
  <c r="W29" i="10"/>
  <c r="L29" i="10"/>
  <c r="O99" i="9"/>
  <c r="T30" i="10"/>
  <c r="W30" i="10"/>
  <c r="R44" i="7"/>
  <c r="T58" i="7"/>
  <c r="V28" i="8"/>
  <c r="V40" i="8"/>
  <c r="O23" i="9"/>
  <c r="P20" i="9"/>
  <c r="R20" i="9" s="1"/>
  <c r="T51" i="9"/>
  <c r="T53" i="9" s="1"/>
  <c r="I147" i="9"/>
  <c r="I59" i="1" s="1"/>
  <c r="P12" i="10"/>
  <c r="W12" i="10"/>
  <c r="V12" i="10"/>
  <c r="L26" i="10"/>
  <c r="W26" i="10"/>
  <c r="R55" i="8"/>
  <c r="P129" i="9"/>
  <c r="R129" i="9" s="1"/>
  <c r="Y62" i="8"/>
  <c r="W60" i="8"/>
  <c r="L23" i="9"/>
  <c r="W128" i="9"/>
  <c r="X128" i="9" s="1"/>
  <c r="V129" i="9"/>
  <c r="K27" i="8"/>
  <c r="L27" i="8" s="1"/>
  <c r="K52" i="8"/>
  <c r="K45" i="9"/>
  <c r="L36" i="9"/>
  <c r="L45" i="9" s="1"/>
  <c r="U149" i="9"/>
  <c r="U147" i="9"/>
  <c r="U59" i="1" s="1"/>
  <c r="X71" i="7"/>
  <c r="X78" i="7" s="1"/>
  <c r="G62" i="8"/>
  <c r="G64" i="8"/>
  <c r="L38" i="8"/>
  <c r="L52" i="8" s="1"/>
  <c r="P42" i="8"/>
  <c r="R42" i="8" s="1"/>
  <c r="W23" i="9"/>
  <c r="L33" i="9"/>
  <c r="P45" i="9"/>
  <c r="R45" i="9" s="1"/>
  <c r="X82" i="9"/>
  <c r="T67" i="9"/>
  <c r="T58" i="1" s="1"/>
  <c r="W82" i="9"/>
  <c r="C147" i="9"/>
  <c r="C59" i="1" s="1"/>
  <c r="Q42" i="10"/>
  <c r="V9" i="10"/>
  <c r="T17" i="10"/>
  <c r="P22" i="10"/>
  <c r="P28" i="10"/>
  <c r="W28" i="10"/>
  <c r="T33" i="10"/>
  <c r="P38" i="10"/>
  <c r="F51" i="10"/>
  <c r="I48" i="10"/>
  <c r="R7" i="9"/>
  <c r="J23" i="9"/>
  <c r="L47" i="9"/>
  <c r="I53" i="9"/>
  <c r="I57" i="1" s="1"/>
  <c r="K64" i="9"/>
  <c r="L64" i="9" s="1"/>
  <c r="L67" i="9" s="1"/>
  <c r="L58" i="1" s="1"/>
  <c r="P72" i="9"/>
  <c r="R72" i="9" s="1"/>
  <c r="L77" i="9"/>
  <c r="X104" i="9"/>
  <c r="X129" i="9" s="1"/>
  <c r="W129" i="9"/>
  <c r="W142" i="9"/>
  <c r="E149" i="9"/>
  <c r="R42" i="10"/>
  <c r="P10" i="10"/>
  <c r="L14" i="10"/>
  <c r="W17" i="10"/>
  <c r="L17" i="10"/>
  <c r="T18" i="10"/>
  <c r="V19" i="10"/>
  <c r="P19" i="10"/>
  <c r="L20" i="10"/>
  <c r="T24" i="10"/>
  <c r="L30" i="10"/>
  <c r="W33" i="10"/>
  <c r="L33" i="10"/>
  <c r="T34" i="10"/>
  <c r="V35" i="10"/>
  <c r="P35" i="10"/>
  <c r="L36" i="10"/>
  <c r="T40" i="10"/>
  <c r="G48" i="10"/>
  <c r="K23" i="9"/>
  <c r="V23" i="9"/>
  <c r="K33" i="9"/>
  <c r="K100" i="9"/>
  <c r="L100" i="9" s="1"/>
  <c r="W99" i="9"/>
  <c r="X99" i="9" s="1"/>
  <c r="X100" i="9" s="1"/>
  <c r="V100" i="9"/>
  <c r="P137" i="9"/>
  <c r="R137" i="9" s="1"/>
  <c r="L145" i="9"/>
  <c r="J42" i="10"/>
  <c r="J47" i="10" s="1"/>
  <c r="P16" i="10"/>
  <c r="W16" i="10"/>
  <c r="P32" i="10"/>
  <c r="W32" i="10"/>
  <c r="W34" i="10"/>
  <c r="H48" i="10"/>
  <c r="X7" i="9"/>
  <c r="N146" i="9"/>
  <c r="H149" i="9"/>
  <c r="U42" i="10"/>
  <c r="T9" i="10"/>
  <c r="W21" i="10"/>
  <c r="L21" i="10"/>
  <c r="T22" i="10"/>
  <c r="V145" i="9"/>
  <c r="V23" i="10"/>
  <c r="P23" i="10"/>
  <c r="L24" i="10"/>
  <c r="W37" i="10"/>
  <c r="L37" i="10"/>
  <c r="V39" i="10"/>
  <c r="P39" i="10"/>
  <c r="L40" i="10"/>
  <c r="N23" i="9"/>
  <c r="N57" i="1" s="1"/>
  <c r="P61" i="9"/>
  <c r="R61" i="9" s="1"/>
  <c r="P64" i="9"/>
  <c r="R64" i="9" s="1"/>
  <c r="T74" i="9"/>
  <c r="T147" i="9" s="1"/>
  <c r="T59" i="1" s="1"/>
  <c r="P82" i="9"/>
  <c r="R82" i="9" s="1"/>
  <c r="L129" i="9"/>
  <c r="V137" i="9"/>
  <c r="M42" i="10"/>
  <c r="W9" i="10"/>
  <c r="L9" i="10"/>
  <c r="T10" i="10"/>
  <c r="V11" i="10"/>
  <c r="P11" i="10"/>
  <c r="L12" i="10"/>
  <c r="P14" i="10"/>
  <c r="P20" i="10"/>
  <c r="W20" i="10"/>
  <c r="T25" i="10"/>
  <c r="V28" i="10"/>
  <c r="P30" i="10"/>
  <c r="P36" i="10"/>
  <c r="W36" i="10"/>
  <c r="W38" i="10"/>
  <c r="T41" i="10"/>
  <c r="P48" i="9"/>
  <c r="R48" i="9" s="1"/>
  <c r="O82" i="9"/>
  <c r="W137" i="9"/>
  <c r="X131" i="9"/>
  <c r="X137" i="9" s="1"/>
  <c r="K142" i="9"/>
  <c r="L142" i="9" s="1"/>
  <c r="P142" i="9"/>
  <c r="R142" i="9" s="1"/>
  <c r="W10" i="10"/>
  <c r="T16" i="10"/>
  <c r="V17" i="10"/>
  <c r="L22" i="10"/>
  <c r="W25" i="10"/>
  <c r="L25" i="10"/>
  <c r="T26" i="10"/>
  <c r="V27" i="10"/>
  <c r="P27" i="10"/>
  <c r="L28" i="10"/>
  <c r="T32" i="10"/>
  <c r="V33" i="10"/>
  <c r="L38" i="10"/>
  <c r="W41" i="10"/>
  <c r="L41" i="10"/>
  <c r="R27" i="9"/>
  <c r="L137" i="9"/>
  <c r="O42" i="10"/>
  <c r="O47" i="10" s="1"/>
  <c r="V16" i="10"/>
  <c r="W19" i="10"/>
  <c r="P24" i="10"/>
  <c r="W24" i="10"/>
  <c r="V32" i="10"/>
  <c r="P34" i="10"/>
  <c r="W35" i="10"/>
  <c r="P40" i="10"/>
  <c r="W40" i="10"/>
  <c r="V10" i="10"/>
  <c r="V14" i="10"/>
  <c r="V18" i="10"/>
  <c r="V22" i="10"/>
  <c r="V26" i="10"/>
  <c r="V30" i="10"/>
  <c r="V34" i="10"/>
  <c r="V38" i="10"/>
  <c r="E147" i="9"/>
  <c r="H147" i="9"/>
  <c r="P51" i="9" l="1"/>
  <c r="R51" i="9" s="1"/>
  <c r="K94" i="7"/>
  <c r="L94" i="7" s="1"/>
  <c r="X23" i="9"/>
  <c r="V144" i="6"/>
  <c r="V209" i="6" s="1"/>
  <c r="V54" i="1" s="1"/>
  <c r="O58" i="5"/>
  <c r="O53" i="1" s="1"/>
  <c r="O122" i="3"/>
  <c r="O51" i="1" s="1"/>
  <c r="C122" i="3"/>
  <c r="C51" i="1" s="1"/>
  <c r="J57" i="1"/>
  <c r="K74" i="9"/>
  <c r="L74" i="9" s="1"/>
  <c r="P56" i="5"/>
  <c r="R56" i="5" s="1"/>
  <c r="V113" i="7"/>
  <c r="V55" i="1" s="1"/>
  <c r="X28" i="8"/>
  <c r="O170" i="6"/>
  <c r="O209" i="6" s="1"/>
  <c r="O54" i="1" s="1"/>
  <c r="P169" i="6"/>
  <c r="P60" i="8"/>
  <c r="R60" i="8" s="1"/>
  <c r="C149" i="9"/>
  <c r="O57" i="1"/>
  <c r="P23" i="9"/>
  <c r="L59" i="8"/>
  <c r="K60" i="8"/>
  <c r="L60" i="8" s="1"/>
  <c r="P78" i="7"/>
  <c r="R78" i="7" s="1"/>
  <c r="T113" i="7"/>
  <c r="T55" i="1" s="1"/>
  <c r="W58" i="7"/>
  <c r="W113" i="7" s="1"/>
  <c r="W55" i="1" s="1"/>
  <c r="P94" i="7"/>
  <c r="R94" i="7" s="1"/>
  <c r="X120" i="3"/>
  <c r="X122" i="3" s="1"/>
  <c r="X51" i="1" s="1"/>
  <c r="P42" i="10"/>
  <c r="X67" i="9"/>
  <c r="X58" i="1" s="1"/>
  <c r="K51" i="9"/>
  <c r="L51" i="9" s="1"/>
  <c r="X161" i="6"/>
  <c r="X162" i="6" s="1"/>
  <c r="K82" i="9"/>
  <c r="L82" i="9" s="1"/>
  <c r="C62" i="1"/>
  <c r="C64" i="1" s="1"/>
  <c r="T57" i="1"/>
  <c r="T149" i="9"/>
  <c r="X144" i="6"/>
  <c r="X209" i="6" s="1"/>
  <c r="X54" i="1" s="1"/>
  <c r="R23" i="9"/>
  <c r="P35" i="8"/>
  <c r="R35" i="8" s="1"/>
  <c r="R33" i="8"/>
  <c r="P74" i="9"/>
  <c r="R74" i="9" s="1"/>
  <c r="W40" i="7"/>
  <c r="K105" i="3"/>
  <c r="K122" i="3" s="1"/>
  <c r="K51" i="1" s="1"/>
  <c r="W170" i="6"/>
  <c r="W209" i="6" s="1"/>
  <c r="W54" i="1" s="1"/>
  <c r="K58" i="5"/>
  <c r="K53" i="1" s="1"/>
  <c r="R41" i="2"/>
  <c r="P50" i="1"/>
  <c r="W20" i="5"/>
  <c r="W58" i="5" s="1"/>
  <c r="W53" i="1" s="1"/>
  <c r="X55" i="5"/>
  <c r="X56" i="5" s="1"/>
  <c r="X58" i="5" s="1"/>
  <c r="X53" i="1" s="1"/>
  <c r="K46" i="1"/>
  <c r="K44" i="1"/>
  <c r="Z9" i="1"/>
  <c r="V9" i="1"/>
  <c r="T44" i="1"/>
  <c r="P146" i="9"/>
  <c r="W45" i="3"/>
  <c r="J41" i="2"/>
  <c r="J50" i="1" s="1"/>
  <c r="L10" i="2"/>
  <c r="K28" i="8"/>
  <c r="P44" i="1"/>
  <c r="P53" i="9"/>
  <c r="R53" i="9" s="1"/>
  <c r="O100" i="9"/>
  <c r="P99" i="9"/>
  <c r="P67" i="9"/>
  <c r="P49" i="5"/>
  <c r="R49" i="5" s="1"/>
  <c r="R48" i="5"/>
  <c r="U62" i="1"/>
  <c r="U64" i="1" s="1"/>
  <c r="V146" i="9"/>
  <c r="W145" i="9"/>
  <c r="V42" i="10"/>
  <c r="W100" i="9"/>
  <c r="K67" i="9"/>
  <c r="K58" i="1" s="1"/>
  <c r="V52" i="8"/>
  <c r="V62" i="8" s="1"/>
  <c r="V56" i="1" s="1"/>
  <c r="W40" i="8"/>
  <c r="R207" i="6"/>
  <c r="G203" i="6"/>
  <c r="L203" i="6" s="1"/>
  <c r="K144" i="6"/>
  <c r="W120" i="3"/>
  <c r="P122" i="3"/>
  <c r="R120" i="3"/>
  <c r="P203" i="6"/>
  <c r="R203" i="6" s="1"/>
  <c r="K53" i="9"/>
  <c r="L53" i="9" s="1"/>
  <c r="L57" i="1" s="1"/>
  <c r="P28" i="8"/>
  <c r="R8" i="8"/>
  <c r="E113" i="7"/>
  <c r="E52" i="8"/>
  <c r="E62" i="8" s="1"/>
  <c r="E56" i="1" s="1"/>
  <c r="W105" i="3"/>
  <c r="N149" i="9"/>
  <c r="N147" i="9"/>
  <c r="N59" i="1" s="1"/>
  <c r="N62" i="1" s="1"/>
  <c r="N64" i="1" s="1"/>
  <c r="E59" i="1"/>
  <c r="L42" i="10"/>
  <c r="K146" i="9"/>
  <c r="L146" i="9" s="1"/>
  <c r="I149" i="9"/>
  <c r="V51" i="9"/>
  <c r="W48" i="9"/>
  <c r="X48" i="9" s="1"/>
  <c r="K113" i="7"/>
  <c r="K55" i="1" s="1"/>
  <c r="L199" i="6"/>
  <c r="P40" i="7"/>
  <c r="R40" i="7" s="1"/>
  <c r="R39" i="7"/>
  <c r="X111" i="7"/>
  <c r="X113" i="7" s="1"/>
  <c r="X55" i="1" s="1"/>
  <c r="P144" i="6"/>
  <c r="R144" i="6" s="1"/>
  <c r="W42" i="10"/>
  <c r="T42" i="10"/>
  <c r="F56" i="1"/>
  <c r="G56" i="1"/>
  <c r="J149" i="9"/>
  <c r="G147" i="9"/>
  <c r="G59" i="1" s="1"/>
  <c r="G149" i="9"/>
  <c r="P52" i="8"/>
  <c r="R52" i="8" s="1"/>
  <c r="P113" i="7"/>
  <c r="K40" i="7"/>
  <c r="L40" i="7" s="1"/>
  <c r="R20" i="5"/>
  <c r="K41" i="2"/>
  <c r="L44" i="1"/>
  <c r="L46" i="1" s="1"/>
  <c r="J62" i="1" l="1"/>
  <c r="J64" i="1" s="1"/>
  <c r="T62" i="1"/>
  <c r="K57" i="1"/>
  <c r="W122" i="3"/>
  <c r="W51" i="1" s="1"/>
  <c r="R169" i="6"/>
  <c r="P170" i="6"/>
  <c r="R170" i="6" s="1"/>
  <c r="L149" i="9"/>
  <c r="R146" i="9"/>
  <c r="R113" i="7"/>
  <c r="P55" i="1"/>
  <c r="R55" i="1" s="1"/>
  <c r="R122" i="3"/>
  <c r="P51" i="1"/>
  <c r="R51" i="1" s="1"/>
  <c r="R44" i="1"/>
  <c r="P62" i="8"/>
  <c r="R28" i="8"/>
  <c r="K209" i="6"/>
  <c r="K54" i="1" s="1"/>
  <c r="R67" i="9"/>
  <c r="P58" i="1"/>
  <c r="R58" i="1" s="1"/>
  <c r="R50" i="1"/>
  <c r="T64" i="1"/>
  <c r="AA9" i="1"/>
  <c r="W9" i="1"/>
  <c r="V44" i="1"/>
  <c r="P58" i="5"/>
  <c r="R99" i="9"/>
  <c r="P100" i="9"/>
  <c r="R100" i="9" s="1"/>
  <c r="K50" i="1"/>
  <c r="K46" i="2"/>
  <c r="K62" i="8"/>
  <c r="K56" i="1" s="1"/>
  <c r="L28" i="8"/>
  <c r="L62" i="8" s="1"/>
  <c r="L56" i="1" s="1"/>
  <c r="W51" i="9"/>
  <c r="V53" i="9"/>
  <c r="V57" i="1" s="1"/>
  <c r="E55" i="1"/>
  <c r="E62" i="1" s="1"/>
  <c r="E64" i="1" s="1"/>
  <c r="W146" i="9"/>
  <c r="X145" i="9"/>
  <c r="X146" i="9" s="1"/>
  <c r="O149" i="9"/>
  <c r="O147" i="9"/>
  <c r="O59" i="1" s="1"/>
  <c r="O62" i="1" s="1"/>
  <c r="O64" i="1" s="1"/>
  <c r="K149" i="9"/>
  <c r="K147" i="9"/>
  <c r="K59" i="1" s="1"/>
  <c r="X40" i="8"/>
  <c r="X52" i="8" s="1"/>
  <c r="X62" i="8" s="1"/>
  <c r="X56" i="1" s="1"/>
  <c r="W52" i="8"/>
  <c r="W62" i="8" s="1"/>
  <c r="W56" i="1" s="1"/>
  <c r="V147" i="9"/>
  <c r="V59" i="1" s="1"/>
  <c r="P57" i="1"/>
  <c r="R57" i="1" s="1"/>
  <c r="P209" i="6" l="1"/>
  <c r="V149" i="9"/>
  <c r="V62" i="1"/>
  <c r="V64" i="1" s="1"/>
  <c r="P147" i="9"/>
  <c r="P59" i="1" s="1"/>
  <c r="R59" i="1" s="1"/>
  <c r="P149" i="9"/>
  <c r="R149" i="9" s="1"/>
  <c r="L147" i="9"/>
  <c r="L59" i="1" s="1"/>
  <c r="X147" i="9"/>
  <c r="X59" i="1" s="1"/>
  <c r="R62" i="8"/>
  <c r="P56" i="1"/>
  <c r="R56" i="1" s="1"/>
  <c r="W44" i="1"/>
  <c r="X9" i="1"/>
  <c r="X44" i="1" s="1"/>
  <c r="R209" i="6"/>
  <c r="P54" i="1"/>
  <c r="R54" i="1" s="1"/>
  <c r="R58" i="5"/>
  <c r="P53" i="1"/>
  <c r="W147" i="9"/>
  <c r="W59" i="1" s="1"/>
  <c r="K62" i="1"/>
  <c r="K64" i="1" s="1"/>
  <c r="W53" i="9"/>
  <c r="W57" i="1" s="1"/>
  <c r="W62" i="1" s="1"/>
  <c r="X51" i="9"/>
  <c r="X53" i="9" s="1"/>
  <c r="X57" i="1" s="1"/>
  <c r="R147" i="9" l="1"/>
  <c r="W149" i="9"/>
  <c r="W64" i="1"/>
  <c r="X62" i="1"/>
  <c r="X64" i="1" s="1"/>
  <c r="R53" i="1"/>
  <c r="P62" i="1"/>
  <c r="X149" i="9"/>
  <c r="R62" i="1" l="1"/>
  <c r="P64" i="1"/>
  <c r="R64" i="1" s="1"/>
  <c r="F16" i="4" l="1"/>
  <c r="F19" i="5"/>
  <c r="F81" i="9"/>
  <c r="F82" i="9" s="1"/>
  <c r="F56" i="7"/>
  <c r="F33" i="5"/>
  <c r="F48" i="9"/>
  <c r="F48" i="5"/>
  <c r="F51" i="8"/>
  <c r="F52" i="8" s="1"/>
  <c r="F72" i="9"/>
  <c r="F74" i="9" s="1"/>
  <c r="F145" i="9"/>
  <c r="F146" i="9" s="1"/>
  <c r="F161" i="6"/>
  <c r="F162" i="6" s="1"/>
  <c r="F55" i="5"/>
  <c r="F77" i="7"/>
  <c r="F78" i="7" s="1"/>
  <c r="F25" i="8"/>
  <c r="F28" i="8" s="1"/>
  <c r="F99" i="9"/>
  <c r="F100" i="9" s="1"/>
  <c r="F40" i="2"/>
  <c r="F20" i="9"/>
  <c r="F23" i="9" s="1"/>
  <c r="F64" i="9"/>
  <c r="F67" i="9" s="1"/>
  <c r="F142" i="6"/>
  <c r="F104" i="3"/>
  <c r="F44" i="3"/>
  <c r="F54" i="7"/>
  <c r="F118" i="3"/>
  <c r="F120" i="3" s="1"/>
  <c r="F59" i="8"/>
  <c r="F60" i="8" s="1"/>
  <c r="F49" i="9"/>
  <c r="F169" i="6"/>
  <c r="F12" i="7"/>
  <c r="F62" i="8" l="1"/>
  <c r="F147" i="9"/>
  <c r="F59" i="1" s="1"/>
  <c r="F170" i="6"/>
  <c r="G169" i="6"/>
  <c r="F49" i="5"/>
  <c r="G48" i="5"/>
  <c r="F105" i="3"/>
  <c r="G104" i="3"/>
  <c r="F34" i="5"/>
  <c r="G33" i="5"/>
  <c r="G19" i="5"/>
  <c r="F20" i="5"/>
  <c r="G40" i="2"/>
  <c r="F41" i="2"/>
  <c r="F50" i="1" s="1"/>
  <c r="F51" i="9"/>
  <c r="F53" i="9" s="1"/>
  <c r="F149" i="9" s="1"/>
  <c r="G55" i="5"/>
  <c r="F56" i="5"/>
  <c r="F115" i="7"/>
  <c r="F13" i="7"/>
  <c r="G12" i="7"/>
  <c r="G16" i="4"/>
  <c r="F20" i="4"/>
  <c r="F52" i="1" s="1"/>
  <c r="G142" i="6"/>
  <c r="F144" i="6"/>
  <c r="F209" i="6" s="1"/>
  <c r="H54" i="7"/>
  <c r="F58" i="7"/>
  <c r="G44" i="3"/>
  <c r="F45" i="3"/>
  <c r="F125" i="3" s="1"/>
  <c r="F122" i="3" l="1"/>
  <c r="F58" i="5"/>
  <c r="F53" i="1" s="1"/>
  <c r="G105" i="3"/>
  <c r="L104" i="3"/>
  <c r="G144" i="6"/>
  <c r="L142" i="6"/>
  <c r="L55" i="5"/>
  <c r="G56" i="5"/>
  <c r="L56" i="5" s="1"/>
  <c r="G20" i="4"/>
  <c r="L16" i="4"/>
  <c r="L40" i="2"/>
  <c r="L41" i="2" s="1"/>
  <c r="L50" i="1" s="1"/>
  <c r="G41" i="2"/>
  <c r="G49" i="5"/>
  <c r="L49" i="5" s="1"/>
  <c r="L48" i="5"/>
  <c r="L44" i="3"/>
  <c r="G45" i="3"/>
  <c r="L45" i="3" s="1"/>
  <c r="G13" i="7"/>
  <c r="G113" i="7" s="1"/>
  <c r="L12" i="7"/>
  <c r="L13" i="7" s="1"/>
  <c r="F113" i="7"/>
  <c r="L19" i="5"/>
  <c r="G20" i="5"/>
  <c r="G170" i="6"/>
  <c r="L170" i="6" s="1"/>
  <c r="L169" i="6"/>
  <c r="G34" i="5"/>
  <c r="L34" i="5" s="1"/>
  <c r="L33" i="5"/>
  <c r="F55" i="1" l="1"/>
  <c r="G55" i="1"/>
  <c r="L113" i="7"/>
  <c r="L55" i="1" s="1"/>
  <c r="G52" i="1"/>
  <c r="L20" i="4"/>
  <c r="L52" i="1" s="1"/>
  <c r="G58" i="5"/>
  <c r="L20" i="5"/>
  <c r="G50" i="1"/>
  <c r="L46" i="2"/>
  <c r="L47" i="2" s="1"/>
  <c r="G209" i="6"/>
  <c r="L144" i="6"/>
  <c r="G122" i="3"/>
  <c r="L105" i="3"/>
  <c r="L122" i="3" s="1"/>
  <c r="L51" i="1" s="1"/>
  <c r="G53" i="1" l="1"/>
  <c r="L58" i="5"/>
  <c r="L53" i="1" s="1"/>
  <c r="F51" i="1"/>
  <c r="G51" i="1"/>
  <c r="G54" i="1"/>
  <c r="F54" i="1"/>
  <c r="L209" i="6"/>
  <c r="L54" i="1" s="1"/>
  <c r="L62" i="1" s="1"/>
  <c r="L64" i="1" s="1"/>
  <c r="G62" i="1" l="1"/>
  <c r="G64" i="1" s="1"/>
  <c r="F62" i="1"/>
  <c r="F64" i="1" s="1"/>
</calcChain>
</file>

<file path=xl/sharedStrings.xml><?xml version="1.0" encoding="utf-8"?>
<sst xmlns="http://schemas.openxmlformats.org/spreadsheetml/2006/main" count="1679" uniqueCount="1124">
  <si>
    <t>EC BUDGET 2022 and 2023/2024</t>
  </si>
  <si>
    <t>Title change</t>
  </si>
  <si>
    <t>Needs further explanation / exploration</t>
  </si>
  <si>
    <t>SUMMARY</t>
  </si>
  <si>
    <t>New since 10052021</t>
  </si>
  <si>
    <t>LINE NO. 2019-2021</t>
  </si>
  <si>
    <t>DESCRIPTION</t>
  </si>
  <si>
    <t>GC Adopted Budget Triennium 16-18</t>
  </si>
  <si>
    <t>GC Adopted Budget 2019-2021</t>
  </si>
  <si>
    <t>2019 actual</t>
  </si>
  <si>
    <t>2020 approved Oct 2019</t>
  </si>
  <si>
    <t>2020 EC Adopted 07222020</t>
  </si>
  <si>
    <t>Comment</t>
  </si>
  <si>
    <t>Reserve for GC80 fees and expenses</t>
  </si>
  <si>
    <t>All other income and expenses for 2021</t>
  </si>
  <si>
    <t>2021 Adopted</t>
  </si>
  <si>
    <t>2019-2021            Adopted 10/12/2020</t>
  </si>
  <si>
    <t>GC80 fees and expenses</t>
  </si>
  <si>
    <t>All other income and expenses for 2022</t>
  </si>
  <si>
    <t>2022 Proposed Total</t>
  </si>
  <si>
    <t>Special Comments for 2022                                                                     (Base salary increases 3% pa; medical cost increases 4% pa)</t>
  </si>
  <si>
    <t>All other income and expenses for 2023</t>
  </si>
  <si>
    <t>GC81 fees and expenses</t>
  </si>
  <si>
    <t>All other income and expenses for 2024</t>
  </si>
  <si>
    <t>2024 Proposed Total</t>
  </si>
  <si>
    <t>2023-2024 Proposed Total</t>
  </si>
  <si>
    <t>Special Comments for 2023-2024                                                                     (Base salary increases 3% pa; medical cost increases 9% pa)</t>
  </si>
  <si>
    <t>INCOME</t>
  </si>
  <si>
    <t>Diocesan Commitments</t>
  </si>
  <si>
    <t xml:space="preserve">Full participation at 15%; annual operating income decline at 1.0%; assessment exemption at $140K annually.  NOTE: Every 1% change equals $300K </t>
  </si>
  <si>
    <t>Diocesan operating income up 1% in each of 2023 2024; maintain 15% assessment</t>
  </si>
  <si>
    <t>Diocesan expected waivers</t>
  </si>
  <si>
    <t>$1.1 mil already approved.  See bottom line 701</t>
  </si>
  <si>
    <t>Available for full or partial waivers; based on 2021 actuals.  NOTE: Every 1% change equals $16K</t>
  </si>
  <si>
    <t>Re-estimated</t>
  </si>
  <si>
    <t>4a</t>
  </si>
  <si>
    <t>Additional waiver relief for dioceses</t>
  </si>
  <si>
    <t>Income from Unrestricted Assets for General budget</t>
  </si>
  <si>
    <t>Dividend income established end of 2018</t>
  </si>
  <si>
    <t>5% draw</t>
  </si>
  <si>
    <t>8% returns in 2021 and 2022; 5% draw</t>
  </si>
  <si>
    <t>Income from Outside trusts where DFMS is beneficiary</t>
  </si>
  <si>
    <t>Income from non-DFMS trusts; previously included in line 5 above</t>
  </si>
  <si>
    <t>Economic Justice Loan income</t>
  </si>
  <si>
    <t>Slow payment deferred until 2021; not eliminated</t>
  </si>
  <si>
    <t>Lower interest rates on loans made to community development organizations</t>
  </si>
  <si>
    <t>EMM Non-Govt Fundraising</t>
  </si>
  <si>
    <t>Donor cultivation continues</t>
  </si>
  <si>
    <t>The fundraising goal of $565 is to cover costs of $904K in lines 454-457 less $339K budgeted by GC.  $260K was in hand on 1/1/2019</t>
  </si>
  <si>
    <t>Annual Appeal  Campaign</t>
  </si>
  <si>
    <t>Realized income has grown annually during the triennium</t>
  </si>
  <si>
    <t>Increase based on successes in 2018-2021</t>
  </si>
  <si>
    <t xml:space="preserve">Income from Unrestricted Assets to support the Development Office </t>
  </si>
  <si>
    <t>11a</t>
  </si>
  <si>
    <t>Short-term reserves for Racial Reconciliation</t>
  </si>
  <si>
    <t>Using the reserves reduces the potential shortfall</t>
  </si>
  <si>
    <t>Reserves only for 2019-2021</t>
  </si>
  <si>
    <t>11b</t>
  </si>
  <si>
    <t>INTENTIONALLY BLANK</t>
  </si>
  <si>
    <t>11c</t>
  </si>
  <si>
    <t>Portion of 2019-2021 budgetary surplus</t>
  </si>
  <si>
    <t>11d</t>
  </si>
  <si>
    <t>Net cost of GC80 from STReserves/Cash accounts</t>
  </si>
  <si>
    <t>Unrestricted reserves for additional Evangelism initatives</t>
  </si>
  <si>
    <t>13a</t>
  </si>
  <si>
    <t>13b</t>
  </si>
  <si>
    <t>Restricted reserves for pension improvements</t>
  </si>
  <si>
    <t>Only for 2019-2021</t>
  </si>
  <si>
    <t>Rental Base Income (incl CUAC, ERD, NAES)</t>
  </si>
  <si>
    <t>Includes additional rent for utilities/services; notional rent granted to ERD</t>
  </si>
  <si>
    <t>Assumes 1 year vacancy</t>
  </si>
  <si>
    <t>Program and Event Related Fees:</t>
  </si>
  <si>
    <t>General Convention Income</t>
  </si>
  <si>
    <t>Offsets costs at line 539</t>
  </si>
  <si>
    <t>Multimedia Services Income</t>
  </si>
  <si>
    <t>Base churchwide work currently precludes additional work</t>
  </si>
  <si>
    <t>Episcopal Digital Network Income</t>
  </si>
  <si>
    <t>"Sponsorship" income.  Increase based on run rate in 2021</t>
  </si>
  <si>
    <t>Refugee Loan Collection Income</t>
  </si>
  <si>
    <t>No decline in early 2020</t>
  </si>
  <si>
    <t>Decrease due to sharp immigration quotas in prior years; and pandemic unemployment.  See costs in line 459</t>
  </si>
  <si>
    <t>Increases expected as admited refugees increases; could be higher</t>
  </si>
  <si>
    <t>Mission Technology Income</t>
  </si>
  <si>
    <t>Charges to affiliates and tenants</t>
  </si>
  <si>
    <t>Facilities Management Income</t>
  </si>
  <si>
    <t>Tenants continuing to use services</t>
  </si>
  <si>
    <t>Total Program and Event Fees</t>
  </si>
  <si>
    <t>Sum of lines 15-25</t>
  </si>
  <si>
    <t>28a</t>
  </si>
  <si>
    <t>PPP loan forgiven in 2021</t>
  </si>
  <si>
    <t>28b</t>
  </si>
  <si>
    <t>Other Income</t>
  </si>
  <si>
    <t>Fees for program event costs; not predictable</t>
  </si>
  <si>
    <t>House of Bishops reimbursements</t>
  </si>
  <si>
    <t>Diocesan shared costs of HOB meetings; previously included in line 189</t>
  </si>
  <si>
    <t>Episcopal Youth Event fees receivable</t>
  </si>
  <si>
    <t xml:space="preserve">Income was budgeted in 2019; expenses in 2020.  </t>
  </si>
  <si>
    <t>Associated costs line 361</t>
  </si>
  <si>
    <t>Registration fees</t>
  </si>
  <si>
    <t>General Board of Exam. Chaplains</t>
  </si>
  <si>
    <t>Fee income for General Ordination exams; 176 @ $750</t>
  </si>
  <si>
    <t>TOTAL INCOME</t>
  </si>
  <si>
    <t>LINE NO.</t>
  </si>
  <si>
    <t xml:space="preserve">GC Adopted Budget
Triennium 16-18
</t>
  </si>
  <si>
    <t>2021 best guess Sept 2019</t>
  </si>
  <si>
    <t>Change Oct 2019 vs. Oct 2018</t>
  </si>
  <si>
    <t>Special Comments for 2019-2021                                                                      (Base salary increases 3% pa; medical cost increases 9% pa; 3% increase in employer contribution to lay pernsion plan effective July 2019)</t>
  </si>
  <si>
    <t>EXPENSES</t>
  </si>
  <si>
    <t>35-65</t>
  </si>
  <si>
    <t>Evangelism</t>
  </si>
  <si>
    <t>66-162</t>
  </si>
  <si>
    <t>Reconciliation &amp; Justice</t>
  </si>
  <si>
    <t>163-174</t>
  </si>
  <si>
    <t>Creation Care</t>
  </si>
  <si>
    <t>175-218</t>
  </si>
  <si>
    <t>PB Ministry</t>
  </si>
  <si>
    <t>219-410</t>
  </si>
  <si>
    <t>Mission Within the Episcopal Church</t>
  </si>
  <si>
    <t>411-511</t>
  </si>
  <si>
    <t>Mission Beyond the Episcopal Church</t>
  </si>
  <si>
    <t>512-</t>
  </si>
  <si>
    <t>Governance</t>
  </si>
  <si>
    <t>568-611</t>
  </si>
  <si>
    <t>Finance and Development</t>
  </si>
  <si>
    <t>612-623</t>
  </si>
  <si>
    <t>Legal</t>
  </si>
  <si>
    <t>624-695</t>
  </si>
  <si>
    <t>Operations (HR, IT, Facilities, Purchasing)</t>
  </si>
  <si>
    <t>696a</t>
  </si>
  <si>
    <t>Adjustments in Finance, Legal, Operations to balance budget</t>
  </si>
  <si>
    <t>696b</t>
  </si>
  <si>
    <t>Undetermined GC80 (2022) Resolutions</t>
  </si>
  <si>
    <t>TOTAL EXPENSES</t>
  </si>
  <si>
    <t>SURPLUS/(DEFICIT)</t>
  </si>
  <si>
    <t>DETAIL: EVANGELISM</t>
  </si>
  <si>
    <t>GC2021 Expenses included in Oct 2020 budget</t>
  </si>
  <si>
    <t>All non-GC expenses for 2021</t>
  </si>
  <si>
    <t>Special Comments for 2022                                                                    (Base salary increases 3% pa; medical cost increases 4% pa)</t>
  </si>
  <si>
    <t>All income and expenses for 2023</t>
  </si>
  <si>
    <t>GC81 2024 fees and expenses</t>
  </si>
  <si>
    <t>Starting New Congregations</t>
  </si>
  <si>
    <r>
      <t xml:space="preserve">Mission Enterprise Zones and New Church Start Grants </t>
    </r>
    <r>
      <rPr>
        <strike/>
        <sz val="12"/>
        <color rgb="FFFF0000"/>
        <rFont val="Calibri"/>
        <family val="2"/>
        <scheme val="minor"/>
      </rPr>
      <t>and Redevelopment</t>
    </r>
  </si>
  <si>
    <t>35% reduction. $242,000 allocated at Feb Exec Co meeting. If follow policy of no additional grants for 2020, would realize additional $300,000 in savings.</t>
  </si>
  <si>
    <t>Church Plant Grants (admin. by task force)</t>
  </si>
  <si>
    <t>Congregational Redevelopment</t>
  </si>
  <si>
    <t>Look at what 2nd and 3rd tranch commitments are</t>
  </si>
  <si>
    <t xml:space="preserve">Redevelopment program and resources </t>
  </si>
  <si>
    <t>Evangelism Initiatives</t>
  </si>
  <si>
    <t>Miscellaneous</t>
  </si>
  <si>
    <r>
      <t>Church Planting Training &amp; Resources</t>
    </r>
    <r>
      <rPr>
        <strike/>
        <sz val="12"/>
        <color theme="1"/>
        <rFont val="Calibri"/>
        <family val="2"/>
        <scheme val="minor"/>
      </rPr>
      <t xml:space="preserve">: Partnerships </t>
    </r>
  </si>
  <si>
    <t>Training, discernment, and support for church planters, including seminary courses and regional tranings</t>
  </si>
  <si>
    <t>Program, travel, office - Church Planting and Redevelopment Staff</t>
  </si>
  <si>
    <t>Manager and staff officer share line for program, travel and equipment</t>
  </si>
  <si>
    <t>Intentionally left blank</t>
  </si>
  <si>
    <t>583b</t>
  </si>
  <si>
    <t>44-49</t>
  </si>
  <si>
    <t>Lines reserved</t>
  </si>
  <si>
    <r>
      <t xml:space="preserve"> Evangelists’ Summit and </t>
    </r>
    <r>
      <rPr>
        <sz val="12"/>
        <color rgb="FFFF0000"/>
        <rFont val="Calibri"/>
        <family val="2"/>
        <scheme val="minor"/>
      </rPr>
      <t>Networks</t>
    </r>
  </si>
  <si>
    <t>Evangelism Matters/Rooted in Jesus event in Jan.</t>
  </si>
  <si>
    <t>Incl. Good News Gardens events, Evangelism Matters annual evangelists gathering, grant networking</t>
  </si>
  <si>
    <t>Evangelism Resources</t>
  </si>
  <si>
    <t>Used for Embracing Evangelism video series</t>
  </si>
  <si>
    <t>Creation and translation of resources</t>
  </si>
  <si>
    <t>Episcopal Revivals</t>
  </si>
  <si>
    <t>20% reduction (2 revivals in January, contract w/ NYC revival event producer)</t>
  </si>
  <si>
    <t>Hybrid lower cost</t>
  </si>
  <si>
    <t>4 revivals/year w/ PB Curry; major revival at GC81</t>
  </si>
  <si>
    <t>Program, travel, office - Evangelism Staff</t>
  </si>
  <si>
    <t>staff to check for further reductions</t>
  </si>
  <si>
    <t>Canon, staff officer, admin associate travel, equip, program</t>
  </si>
  <si>
    <t>Officer, canon, associate travel, program, equipment</t>
  </si>
  <si>
    <t>Evangelism Grants Program</t>
  </si>
  <si>
    <t>Granted at February Exec Council meeting (committee voted to distribute half of $125,000 total grant funding. 1 more cycle in triennium, could be reduced.)SPENT</t>
  </si>
  <si>
    <t>Grants</t>
  </si>
  <si>
    <t>Committee on MW recommends increasing evangelism grant program given success in 2019-2021 triennium.</t>
  </si>
  <si>
    <t>Way of Love Curriculum, Resources, Events (formerly Evangelistic Work)</t>
  </si>
  <si>
    <t>Explain? Way of Love - SWOL funds end after 1st quarter</t>
  </si>
  <si>
    <t>Way of Love curricula, resources, app, events - not included in 2019-21 budget</t>
  </si>
  <si>
    <t>592b</t>
  </si>
  <si>
    <t>Reserve for GC80</t>
  </si>
  <si>
    <t>61b</t>
  </si>
  <si>
    <t>Staff Costs</t>
  </si>
  <si>
    <t>Associate position moved back from previous shift to PBO line 186 for 5 months</t>
  </si>
  <si>
    <t>Associate position moved back from previous shift to PBO</t>
  </si>
  <si>
    <t>Evangelism Total</t>
  </si>
  <si>
    <t>622c</t>
  </si>
  <si>
    <t>GC80 accrual</t>
  </si>
  <si>
    <t>3 staff moved to Racial Reconciliation</t>
  </si>
  <si>
    <t>DETAIL: RECONCILIATION AND JUSTICE</t>
  </si>
  <si>
    <t>Poverty and Social Justice</t>
  </si>
  <si>
    <t>Asset Based Community Development Training (ABCD)</t>
  </si>
  <si>
    <t xml:space="preserve">prior commitment to creating online ABCD training, but otherwise no events in 2020 </t>
  </si>
  <si>
    <t>Shared with ERD - more hybrid trainings</t>
  </si>
  <si>
    <t>Internships</t>
  </si>
  <si>
    <t>Jubilee and Justice Ministry Grants</t>
  </si>
  <si>
    <t>35% reduction; Jubilee Ministries key to COVID response????</t>
  </si>
  <si>
    <t>Poverty and social justice network, inc. Jubilee</t>
  </si>
  <si>
    <t>Slightly reduced from previous triennium</t>
  </si>
  <si>
    <t>Jubilee and Justice Ministry Training and Network</t>
  </si>
  <si>
    <t>60% reduction</t>
  </si>
  <si>
    <r>
      <t xml:space="preserve">Program, travel and office - </t>
    </r>
    <r>
      <rPr>
        <sz val="11"/>
        <color rgb="FFFF0000"/>
        <rFont val="Calibri"/>
        <family val="2"/>
        <scheme val="minor"/>
      </rPr>
      <t>Poverty and Justice</t>
    </r>
    <r>
      <rPr>
        <sz val="11"/>
        <color theme="1"/>
        <rFont val="Calibri"/>
        <family val="2"/>
        <scheme val="minor"/>
      </rPr>
      <t xml:space="preserve"> Staff</t>
    </r>
  </si>
  <si>
    <t>nearly 50% reduction  -  staff to check for further reductions</t>
  </si>
  <si>
    <t>Modest increase in travel for 2023-24</t>
  </si>
  <si>
    <t>Justice Leaders Retreats</t>
  </si>
  <si>
    <t>previously committed</t>
  </si>
  <si>
    <t>Social justice resources and webinars</t>
  </si>
  <si>
    <t xml:space="preserve">One retreat for protest/movement chaplains per year, plus resources </t>
  </si>
  <si>
    <t>80b</t>
  </si>
  <si>
    <t>Event on Human Trafficking</t>
  </si>
  <si>
    <t>Total Poverty &amp; Social Justice</t>
  </si>
  <si>
    <t>Racial Justice and Reconciliation</t>
  </si>
  <si>
    <t xml:space="preserve">$350,000 approved at end of 2019; group planned to distribute another $150,000 in grants and host a $50,000 conference in 2020. </t>
  </si>
  <si>
    <t>Grants (e.g., rapid response)</t>
  </si>
  <si>
    <t xml:space="preserve">Becoming Beloved Community Grants  </t>
  </si>
  <si>
    <t>Becoming Beloved Community Summit and Networks</t>
  </si>
  <si>
    <t>Racial Justice Audit</t>
  </si>
  <si>
    <t>Already committed</t>
  </si>
  <si>
    <t>Mission Institute audit contract</t>
  </si>
  <si>
    <t xml:space="preserve">Ongoing audit trainings and updated audit for GC2024 </t>
  </si>
  <si>
    <r>
      <t xml:space="preserve">Sacred  </t>
    </r>
    <r>
      <rPr>
        <sz val="11"/>
        <color rgb="FFFF0000"/>
        <rFont val="Calibri"/>
        <family val="2"/>
        <scheme val="minor"/>
      </rPr>
      <t>Ground</t>
    </r>
  </si>
  <si>
    <t>Katrina Browne consulting (now reduced), plus events already hosted</t>
  </si>
  <si>
    <t>Sacred Ground consultant, support for webinars, facilitators, licensing</t>
  </si>
  <si>
    <t>expanding program - inc. for youth and people of color - will require expanded support</t>
  </si>
  <si>
    <t>88b</t>
  </si>
  <si>
    <t xml:space="preserve">Truth and Reconciliation </t>
  </si>
  <si>
    <t>event-based work now moved online; support for storysharing efforts around COVID-19 and race</t>
  </si>
  <si>
    <t>Dismantling Racism Formation and Training</t>
  </si>
  <si>
    <t>Absalom Jones Center contract.</t>
  </si>
  <si>
    <t>MOU with Absalom Jones Center</t>
  </si>
  <si>
    <r>
      <rPr>
        <sz val="11"/>
        <color rgb="FFFF0000"/>
        <rFont val="Calibri"/>
        <family val="2"/>
        <scheme val="minor"/>
      </rPr>
      <t>Racial Reconciliation and Justice Resources</t>
    </r>
    <r>
      <rPr>
        <sz val="11"/>
        <color theme="1"/>
        <rFont val="Calibri"/>
        <family val="2"/>
        <scheme val="minor"/>
      </rPr>
      <t xml:space="preserve"> </t>
    </r>
  </si>
  <si>
    <t>small amount cannot be further reduced</t>
  </si>
  <si>
    <t>Anti-racism/dismantling racism training support</t>
  </si>
  <si>
    <t>Resources, enewsletter, social media management</t>
  </si>
  <si>
    <t>Young Adult Pilgrimage</t>
  </si>
  <si>
    <t>support for developing online pilgrimage platforms, in absence of physical travel</t>
  </si>
  <si>
    <r>
      <t xml:space="preserve">Program, travel and office - </t>
    </r>
    <r>
      <rPr>
        <sz val="11"/>
        <color rgb="FFFF0000"/>
        <rFont val="Calibri"/>
        <family val="2"/>
        <scheme val="minor"/>
      </rPr>
      <t>Racial Reconciliation</t>
    </r>
    <r>
      <rPr>
        <sz val="11"/>
        <color theme="1"/>
        <rFont val="Calibri"/>
        <family val="2"/>
        <scheme val="minor"/>
      </rPr>
      <t xml:space="preserve"> Staff</t>
    </r>
  </si>
  <si>
    <t>47% reduction in travel and program - staff to check for further reductions</t>
  </si>
  <si>
    <t>Officer and associate travel and program</t>
  </si>
  <si>
    <t xml:space="preserve">No additional funding </t>
  </si>
  <si>
    <r>
      <rPr>
        <strike/>
        <sz val="11"/>
        <color theme="1"/>
        <rFont val="Calibri"/>
        <family val="2"/>
        <scheme val="minor"/>
      </rPr>
      <t>Racial</t>
    </r>
    <r>
      <rPr>
        <sz val="11"/>
        <color theme="1"/>
        <rFont val="Calibri"/>
        <family val="2"/>
        <scheme val="minor"/>
      </rPr>
      <t xml:space="preserve"> Criminal Justice Ministries</t>
    </r>
  </si>
  <si>
    <t>$10K committed to consultant; another $10K for responding to racial implications of COVID</t>
  </si>
  <si>
    <t>Racial justice &amp; action working group: network facilitation, gathering, resources</t>
  </si>
  <si>
    <t xml:space="preserve">Program travel and office - Canon </t>
  </si>
  <si>
    <t>40% reduction - staff to check for further reductions</t>
  </si>
  <si>
    <t>spreadsheet said $220K approved for 2020, but that must've been a mistake. 0 in this line.</t>
  </si>
  <si>
    <t>99b</t>
  </si>
  <si>
    <t>72% reduction</t>
  </si>
  <si>
    <t>Hiring RR associate rather than officer; continue contracting with high-level consultants - reduces this line by $50,000</t>
  </si>
  <si>
    <t>Racial Justice Total</t>
  </si>
  <si>
    <t>37% reduction</t>
  </si>
  <si>
    <t>Ethnic Ministries:</t>
  </si>
  <si>
    <t>Indigenous Ministries</t>
  </si>
  <si>
    <t xml:space="preserve">Support for Indigenous Theological Education and Training)  </t>
  </si>
  <si>
    <t>2020 program primarily online or funded in other lines</t>
  </si>
  <si>
    <t>Also includes funds for Doctrine of Discovery training</t>
  </si>
  <si>
    <t xml:space="preserve"> Church-wide Indigenous Winter Talk gathering</t>
  </si>
  <si>
    <t>Winter Talk already happened</t>
  </si>
  <si>
    <t>Native Youth Development Project</t>
  </si>
  <si>
    <t>Assessment study for outreach to and networking with Province 9</t>
  </si>
  <si>
    <t>funding for continued network development and outreach</t>
  </si>
  <si>
    <t>Collaborative Projects</t>
  </si>
  <si>
    <t>mostly travel-dependent programs</t>
  </si>
  <si>
    <t>Seminarians of Color, Why Serve, General Convention estimate</t>
  </si>
  <si>
    <r>
      <t xml:space="preserve">Program, office and </t>
    </r>
    <r>
      <rPr>
        <sz val="11"/>
        <color rgb="FFFF0000"/>
        <rFont val="Calibri"/>
        <family val="2"/>
        <scheme val="minor"/>
      </rPr>
      <t>staff</t>
    </r>
    <r>
      <rPr>
        <sz val="12"/>
        <color theme="1"/>
        <rFont val="Calibri"/>
        <family val="2"/>
        <scheme val="minor"/>
      </rPr>
      <t xml:space="preserve"> travel</t>
    </r>
  </si>
  <si>
    <t>Includes General Convention estimate</t>
  </si>
  <si>
    <t>two staff officers travel on same line; often travel to remote areas</t>
  </si>
  <si>
    <t>111a</t>
  </si>
  <si>
    <t>Consultants</t>
  </si>
  <si>
    <t>111b</t>
  </si>
  <si>
    <t>Indigenous Ministries Total</t>
  </si>
  <si>
    <t>A large portion of Indigenous Ministries’ budget was spent in January due to WinterTalk, and the remainder of the budget is only $21,541.03. The other 3 missioners agreed to adjust their budgets accordingly.  </t>
  </si>
  <si>
    <t>Asiamerican Ministries</t>
  </si>
  <si>
    <t>Ethnic Convocational Leadership Gatherings</t>
  </si>
  <si>
    <t>Events moved online</t>
  </si>
  <si>
    <t>Ethnic Convocations will be meeting during the EAM Consultation</t>
  </si>
  <si>
    <t>Convocations, including regional AAPI justice engagement</t>
  </si>
  <si>
    <t>Asiamerica &amp; Pacific Islanders Churchwide Consultation</t>
  </si>
  <si>
    <t>The 9 Ethnic Convocations will be meeting during the EAM Consultation.</t>
  </si>
  <si>
    <t>ANDREWS - Asiamerica Mentoring Program</t>
  </si>
  <si>
    <t>online program with curriculum developer and trainer fees</t>
  </si>
  <si>
    <t>ANDREWS will transition to Asiamerica Lay Ministry Institute which will require additional funding.</t>
  </si>
  <si>
    <t xml:space="preserve">Collaborative Projects </t>
  </si>
  <si>
    <t>Program, office and travel</t>
  </si>
  <si>
    <t>120b</t>
  </si>
  <si>
    <t>Episcopal Asia America Ministries Total</t>
  </si>
  <si>
    <t>55% reduction</t>
  </si>
  <si>
    <t>Black Ministries</t>
  </si>
  <si>
    <t>Congregational Programs for Revitalization (CPR) [formerly New Visions]</t>
  </si>
  <si>
    <t>$6,200 expensed as of March 31,</t>
  </si>
  <si>
    <t>Reimagine New Visions Program - Includes Black Congregational Leadership   Collaborative with ECF and support for declining black churches</t>
  </si>
  <si>
    <t>125a</t>
  </si>
  <si>
    <t>Diaspora Clergy &amp; Laity Convocations Gathering</t>
  </si>
  <si>
    <t>Event postponed until September (?) - small gathering</t>
  </si>
  <si>
    <t>2 Diaspora Convocation per year</t>
  </si>
  <si>
    <t>Still needs additional explanation</t>
  </si>
  <si>
    <t>125b</t>
  </si>
  <si>
    <t xml:space="preserve">Visiting Supply Clergy Program to the Dio. Virgin Islands </t>
  </si>
  <si>
    <t>Includes 8 Supply Clergy per Year</t>
  </si>
  <si>
    <t>125c</t>
  </si>
  <si>
    <t xml:space="preserve">New Resources </t>
  </si>
  <si>
    <t>Includes Black Bishops Posters (last update was 2017) &amp; history of Black preachers; contemporary reflections on critical issues in our church and society</t>
  </si>
  <si>
    <t>125d</t>
  </si>
  <si>
    <t>Youth Leadership Academy</t>
  </si>
  <si>
    <t xml:space="preserve">Replaces S.O.U. L. Program </t>
  </si>
  <si>
    <t>125e</t>
  </si>
  <si>
    <t>Clergy &amp; Lay Leadership Discernment Academy</t>
  </si>
  <si>
    <t>Discernment - Executive Leadership Opportunities Churchwide (focusing on inclusion &amp; equity)</t>
  </si>
  <si>
    <t>126a</t>
  </si>
  <si>
    <t xml:space="preserve">Coaching and Mentoring </t>
  </si>
  <si>
    <t>Event Cancelled</t>
  </si>
  <si>
    <t>Training Cost for Holmes Coaching &amp; Thriving in Ministry Collaborative with VTS - 6 per year</t>
  </si>
  <si>
    <t>126b</t>
  </si>
  <si>
    <t>Healing from Internalized Oppression</t>
  </si>
  <si>
    <t>OBM Signature Training program 4 trainings per year</t>
  </si>
  <si>
    <t>127a</t>
  </si>
  <si>
    <r>
      <t xml:space="preserve">International Black Clergy </t>
    </r>
    <r>
      <rPr>
        <sz val="11"/>
        <color rgb="FFFF0000"/>
        <rFont val="Calibri"/>
        <family val="2"/>
        <scheme val="minor"/>
      </rPr>
      <t>&amp; Laity</t>
    </r>
    <r>
      <rPr>
        <sz val="12"/>
        <color theme="1"/>
        <rFont val="Calibri"/>
        <family val="2"/>
        <scheme val="minor"/>
      </rPr>
      <t xml:space="preserve"> Conference</t>
    </r>
  </si>
  <si>
    <t>Triennial Event - Virtual Gathering in 2020</t>
  </si>
  <si>
    <t>127b</t>
  </si>
  <si>
    <r>
      <t xml:space="preserve">Historically Black Colleges Recognition </t>
    </r>
    <r>
      <rPr>
        <sz val="11"/>
        <color rgb="FFFF0000"/>
        <rFont val="Calibri"/>
        <family val="2"/>
        <scheme val="minor"/>
      </rPr>
      <t>&amp; Engagement</t>
    </r>
    <r>
      <rPr>
        <sz val="12"/>
        <color theme="1"/>
        <rFont val="Calibri"/>
        <family val="2"/>
        <scheme val="minor"/>
      </rPr>
      <t xml:space="preserve"> Event</t>
    </r>
  </si>
  <si>
    <t>Includes * Annual Programs &amp; Events at St. Augustine &amp; Voorhees</t>
  </si>
  <si>
    <t>Event moved online</t>
  </si>
  <si>
    <t>Explain increase 'Seminarians of Color, Why Serve, General Convention estimate</t>
  </si>
  <si>
    <t>$13,240 expensed as March 31,  Revised budget reflects $12,760 for remainder of the year.  staff to check for further reductions</t>
  </si>
  <si>
    <t>Includes Consultants for Technology Support for OBM Programs</t>
  </si>
  <si>
    <t>$9,830 expensed as March 31 - Revised budget reflects $5,170 for balance of year</t>
  </si>
  <si>
    <t>132a</t>
  </si>
  <si>
    <t>Expensed $930 as March 31</t>
  </si>
  <si>
    <t>132b</t>
  </si>
  <si>
    <t>Black Ministries Total</t>
  </si>
  <si>
    <t>52% reduction - Total Expensed as of March 31 $33,917</t>
  </si>
  <si>
    <t>Hispanic / Latino Ministries</t>
  </si>
  <si>
    <t>Formation Programs &amp; Training (formerly Academia)</t>
  </si>
  <si>
    <t>previously held; also online components</t>
  </si>
  <si>
    <t>Academia, New Camino, ABCD, Cultural Competency Course (ELMC)</t>
  </si>
  <si>
    <t>2023: fundamental update to Academia curriculum</t>
  </si>
  <si>
    <t>New Camino</t>
  </si>
  <si>
    <t>33% reduction; previously held; also online components</t>
  </si>
  <si>
    <t>Now listed under Line 136</t>
  </si>
  <si>
    <t>Social Media/Digital Resources</t>
  </si>
  <si>
    <t>Social Media manager, social media promotion, LatinosEpiscopales, General Convention media</t>
  </si>
  <si>
    <t>ABCD Training (Asset-based Community Development</t>
  </si>
  <si>
    <t>Nuevo Amanecer</t>
  </si>
  <si>
    <t>moved online - 64% reduction</t>
  </si>
  <si>
    <t xml:space="preserve">Cultural Competency </t>
  </si>
  <si>
    <t>60% reduction - mostly travel events</t>
  </si>
  <si>
    <r>
      <rPr>
        <sz val="11"/>
        <color theme="1"/>
        <rFont val="Cambria"/>
        <family val="1"/>
      </rPr>
      <t xml:space="preserve">Staff Travel </t>
    </r>
    <r>
      <rPr>
        <sz val="11"/>
        <color rgb="FFFF0000"/>
        <rFont val="Cambria"/>
        <family val="1"/>
      </rPr>
      <t>&amp; Office Expenses</t>
    </r>
  </si>
  <si>
    <t>58% reduction - staff to check for further reductions</t>
  </si>
  <si>
    <t>Travel for Missioners, General Convention</t>
  </si>
  <si>
    <t>25% reduction</t>
  </si>
  <si>
    <t>146a</t>
  </si>
  <si>
    <t>Translation/Interpretation</t>
  </si>
  <si>
    <t>146b</t>
  </si>
  <si>
    <t>Hispanic/Latino Ministries Total</t>
  </si>
  <si>
    <t>Ethnic Ministry-Related Social Justice and Advocacy</t>
  </si>
  <si>
    <t>Total Ethnic Ministries</t>
  </si>
  <si>
    <t>17% reduction</t>
  </si>
  <si>
    <t>Historically Black Episcopal Colleges + Universities</t>
  </si>
  <si>
    <t>153a</t>
  </si>
  <si>
    <t>St. Augustine's University</t>
  </si>
  <si>
    <t>HBCU Cte moved that 25% of the grant be used to support the chaplaincy and 75% be used for general purposes of SAU</t>
  </si>
  <si>
    <t>153b</t>
  </si>
  <si>
    <t>Voorhees University</t>
  </si>
  <si>
    <t>HBCU Cte and Voorhees President request that 40% of the grant be used to support the chaplaincy and 60% be used for general purposes of Voorhees</t>
  </si>
  <si>
    <t>Educational Enterprise Grants</t>
  </si>
  <si>
    <t xml:space="preserve">HBCU Cte moved that 25% of the grants be used to support the chaplaincies and 75% be used for general purposes of the institutions  </t>
  </si>
  <si>
    <t>154a</t>
  </si>
  <si>
    <t>St. Augustine Educational Enterprise Grant</t>
  </si>
  <si>
    <t>154b</t>
  </si>
  <si>
    <t>Voorhees Educational Enterprise Grant</t>
  </si>
  <si>
    <t>Intentionally Blank</t>
  </si>
  <si>
    <t>United Thank Offering</t>
  </si>
  <si>
    <t>UTO Other</t>
  </si>
  <si>
    <t>less travel</t>
  </si>
  <si>
    <t>$189,987 – Program Costs (includes $50,000 rolled over for General Convention Costs, $40,000 for</t>
  </si>
  <si>
    <t>157b</t>
  </si>
  <si>
    <t>the distribution center, staff travel/phone/etc.)</t>
  </si>
  <si>
    <t>staff vacancy</t>
  </si>
  <si>
    <t>Less Offset from trust funds</t>
  </si>
  <si>
    <t>Total United Thank Offering</t>
  </si>
  <si>
    <t>Total Racial Justice and Reconciliation</t>
  </si>
  <si>
    <t>DETAIL: CREATION CARE</t>
  </si>
  <si>
    <t>Climate Mitigation Efforts</t>
  </si>
  <si>
    <t>Carbon Tracker/mitigation efforts</t>
  </si>
  <si>
    <t>Carbon tracker and mitigation efforts</t>
  </si>
  <si>
    <t>EcoJustice Fellows Program (formerly EcoJustice site grants)</t>
  </si>
  <si>
    <t>Already disbursed $20K for Asset Map development to track creation justice opportunities. Recommend no other spending from this area.</t>
  </si>
  <si>
    <t>Eco-justice organizing fellows - drive and harness regional youth engagement</t>
  </si>
  <si>
    <t>Creation Care Grants</t>
  </si>
  <si>
    <t>$179,832 approved by EC in Feb 2020. Covered by $118K accrued from 2019 grant allocation. That total was added to the $116K originally budgeted for 2020. If no additional grant cycle in 2020,  savings of $54K.??? Julia</t>
  </si>
  <si>
    <t>Includes grants and storytelling @ GC</t>
  </si>
  <si>
    <t>Creation Care Grants program, admin. by task force</t>
  </si>
  <si>
    <t>Advisory Council meetings</t>
  </si>
  <si>
    <t>April 2020 meeting to occur virtually</t>
  </si>
  <si>
    <t>Meeting after GC</t>
  </si>
  <si>
    <t>Creation Care Networks and Resources</t>
  </si>
  <si>
    <t>Network gatherings and support to occur virtually</t>
  </si>
  <si>
    <t>Network development, covenant engagement, Good News Gardens</t>
  </si>
  <si>
    <t>Other Initiatives</t>
  </si>
  <si>
    <t>Conference of Parties/UN climate work</t>
  </si>
  <si>
    <t>Conference of Parties cancelled for 2020</t>
  </si>
  <si>
    <t>International engagement, inc. COP and UN</t>
  </si>
  <si>
    <t>171a</t>
  </si>
  <si>
    <t>Program, travel, office - Associate, Director, Canon</t>
  </si>
  <si>
    <t>Staff travel and program will be held to 50% of total 2020 allocation - staff to check for further reductions</t>
  </si>
  <si>
    <t>Program associate, director and canon travel, equipment and program</t>
  </si>
  <si>
    <t>Staff costs</t>
  </si>
  <si>
    <t>Program Associate salary adjustment</t>
  </si>
  <si>
    <t>173a</t>
  </si>
  <si>
    <t>Additional Creation Care program</t>
  </si>
  <si>
    <t xml:space="preserve">Exec Council approved $30K in spending at Feb 2020 meeting. Recommend $5,000 for other work in 2020. Also recommend not hiring consultant on carbon offsets for DFMS travel, a task force resolution approved by EC in Feb 2020. </t>
  </si>
  <si>
    <t>173b</t>
  </si>
  <si>
    <t>Office rental</t>
  </si>
  <si>
    <t>Cancel Epiphany office rental for remainder of 2020</t>
  </si>
  <si>
    <t>173c</t>
  </si>
  <si>
    <t>Total Creation Care</t>
  </si>
  <si>
    <t>602b</t>
  </si>
  <si>
    <t>DETAIL: MINISTRY OF PRESIDING BISHOP TO CHURCH AND WORLD</t>
  </si>
  <si>
    <t>Presiding Bishop's Office</t>
  </si>
  <si>
    <t>Governance-Related Costs</t>
  </si>
  <si>
    <t>Reserve for Lambeth; CofA in December??</t>
  </si>
  <si>
    <t>Reserve for Lambeth; Council of Advice</t>
  </si>
  <si>
    <t xml:space="preserve">Title IV Disciplinary Actions relative to Bishops </t>
  </si>
  <si>
    <t>Convocation Episcopal Churches In Europe</t>
  </si>
  <si>
    <t>Bishop in Charge of Europe</t>
  </si>
  <si>
    <t>Housing costs</t>
  </si>
  <si>
    <t>Bishop in Charge of Navajoland</t>
  </si>
  <si>
    <t>Hospitality and Entertainment</t>
  </si>
  <si>
    <t>Official &amp; Discretionary Expenses</t>
  </si>
  <si>
    <t>Travel</t>
  </si>
  <si>
    <t xml:space="preserve">This number is unlikely to rise during the remainder of the year.  Includes Travel for all PB Office staff plus occasional staff from all other areas of ministry.  </t>
  </si>
  <si>
    <t>Will increase in 2023 as international and domestic travel increases</t>
  </si>
  <si>
    <t>Haiti Partnership Committee</t>
  </si>
  <si>
    <t>Other departmental costs</t>
  </si>
  <si>
    <t>includes increase for Translation / Interpretation Costs</t>
  </si>
  <si>
    <t>185b</t>
  </si>
  <si>
    <t>Associate position returned to Evangelism for 5 months of 2021</t>
  </si>
  <si>
    <t>Total Presiding Bishop's Office</t>
  </si>
  <si>
    <t>House of Bishops</t>
  </si>
  <si>
    <t>Cancellation of Spring HOB; Camp Allen paid its staff</t>
  </si>
  <si>
    <t>Includes $30,000 for interpretation / translation costs; is offset by income in line 29</t>
  </si>
  <si>
    <t>House of Bishops (including Theology Cte)</t>
  </si>
  <si>
    <t>College for Bishops Grant</t>
  </si>
  <si>
    <t>Total House of Bishops</t>
  </si>
  <si>
    <t>Pastoral Development</t>
  </si>
  <si>
    <t>195a</t>
  </si>
  <si>
    <t>Pastoral Development Other Costs</t>
  </si>
  <si>
    <t>Incliudes limited return to travel; Election Consultants</t>
  </si>
  <si>
    <t>Increase in impending elections and consultations. Annual training of current and new consultants.  Increased requests for consultation for cross-diocesan collaborations, mergers, etc. Increased need for consultants in Title IV matters</t>
  </si>
  <si>
    <t>195b</t>
  </si>
  <si>
    <t>Title IV Training Website (translation)</t>
  </si>
  <si>
    <t>195c</t>
  </si>
  <si>
    <t>Travel GC</t>
  </si>
  <si>
    <t>195d</t>
  </si>
  <si>
    <t>Total Pastoral Development</t>
  </si>
  <si>
    <t>Armed Forces and Federal Ministries</t>
  </si>
  <si>
    <t>Departmental Costs</t>
  </si>
  <si>
    <t>Seminars/Conferences</t>
  </si>
  <si>
    <t>per PBO</t>
  </si>
  <si>
    <t>Selection of Chaplains</t>
  </si>
  <si>
    <t>More chaplain applicants are expected as more parishes are unable to support FT clergy</t>
  </si>
  <si>
    <t>Supplies/Services</t>
  </si>
  <si>
    <t>Chaplain Care</t>
  </si>
  <si>
    <t>Travel Bishop Suffragan</t>
  </si>
  <si>
    <t>Rent</t>
  </si>
  <si>
    <t>Office costs</t>
  </si>
  <si>
    <t>208b</t>
  </si>
  <si>
    <t>Total Federal Ministries</t>
  </si>
  <si>
    <t>GBEC Income</t>
  </si>
  <si>
    <t>GBEC Non-staff</t>
  </si>
  <si>
    <t>Readers' conference preceded Cov-19 shutdown</t>
  </si>
  <si>
    <t>214b</t>
  </si>
  <si>
    <t>GBEC Staff costs</t>
  </si>
  <si>
    <t>GBEC Total</t>
  </si>
  <si>
    <t>Goal to run close to breakeven</t>
  </si>
  <si>
    <t>Offset by income in line 31</t>
  </si>
  <si>
    <t>Total PBO Ministry</t>
  </si>
  <si>
    <t>DETAIL: MISSION WITHIN THE EPISCOPAL CHURCH</t>
  </si>
  <si>
    <t>Communications</t>
  </si>
  <si>
    <t>Director's Office</t>
  </si>
  <si>
    <t>Communication Operations</t>
  </si>
  <si>
    <t>Freelancers</t>
  </si>
  <si>
    <t>These are really Departmental Expenses.  (travel, phone, postage, etc.)</t>
  </si>
  <si>
    <t>Conferences and Workshops</t>
  </si>
  <si>
    <t>Presiding Bishop's Installation Expenses</t>
  </si>
  <si>
    <t>Memberships and Subscriptions</t>
  </si>
  <si>
    <t>Postage</t>
  </si>
  <si>
    <t>231a</t>
  </si>
  <si>
    <t>General Office Exp.</t>
  </si>
  <si>
    <t>231b</t>
  </si>
  <si>
    <t>Computer/Communications Hardware and Software</t>
  </si>
  <si>
    <t>Director's Office Total</t>
  </si>
  <si>
    <t>Communications Creative Services</t>
  </si>
  <si>
    <t>Brand Strategy Support</t>
  </si>
  <si>
    <t>New Media Development</t>
  </si>
  <si>
    <t>Staff to check for further reductions</t>
  </si>
  <si>
    <t>Travel reduced by 10%</t>
  </si>
  <si>
    <t>General Office Expenses</t>
  </si>
  <si>
    <t>Computer Hardware and Software</t>
  </si>
  <si>
    <t>Telephone telecom</t>
  </si>
  <si>
    <t>Communications Creative Services Total</t>
  </si>
  <si>
    <t>Multimedia Services</t>
  </si>
  <si>
    <t>Mike Collins</t>
  </si>
  <si>
    <t>43% reduction  $30K already spent</t>
  </si>
  <si>
    <t>10% increase to reflect catch-up on COVID deferred projects</t>
  </si>
  <si>
    <t>Explain increase</t>
  </si>
  <si>
    <t>Conference &amp; Registration Fees</t>
  </si>
  <si>
    <t>Equipment Support</t>
  </si>
  <si>
    <t>Website: Livestreaming</t>
  </si>
  <si>
    <t>Memberships &amp; Subscriptions</t>
  </si>
  <si>
    <t>Computer Hardware and software</t>
  </si>
  <si>
    <t>Multimedia Services Total</t>
  </si>
  <si>
    <t>Budget anticipates project work to "catch up" after COVID</t>
  </si>
  <si>
    <t>Public Affairs</t>
  </si>
  <si>
    <t>Copywriter/editor now attend to GC80.</t>
  </si>
  <si>
    <t>Initiatives/Collaboration</t>
  </si>
  <si>
    <t>Will cover external PR firm</t>
  </si>
  <si>
    <t>Est. $3,000 for transition consulting; $10,000 contingency for crisis communications</t>
  </si>
  <si>
    <t>Reduction in PB travel carries through to Public Affairs - staff to check for further reductions</t>
  </si>
  <si>
    <t>Includes PA Officer travel to Lambeth</t>
  </si>
  <si>
    <t>Already spent</t>
  </si>
  <si>
    <t>Add Copywriter/editor to Episcopal Communicators Conference</t>
  </si>
  <si>
    <t>Added Copywriter/editor</t>
  </si>
  <si>
    <t>Public Affairs Total</t>
  </si>
  <si>
    <t>Web &amp; Social Media Services</t>
  </si>
  <si>
    <t>Barry</t>
  </si>
  <si>
    <t>75% reduction - staff to check for further reductions</t>
  </si>
  <si>
    <t>Website Development, Maintenance &amp; Upgrades</t>
  </si>
  <si>
    <t>Duo Consulting work has ended</t>
  </si>
  <si>
    <t>Asset Mapping</t>
  </si>
  <si>
    <t>Computer Software</t>
  </si>
  <si>
    <t>Computer Hardware</t>
  </si>
  <si>
    <t>Web &amp; Social Media Services Total</t>
  </si>
  <si>
    <t>Episcopal News Service</t>
  </si>
  <si>
    <t>General Convention travel and fees</t>
  </si>
  <si>
    <t>Travel Expenses</t>
  </si>
  <si>
    <t>Episcopal News Service Total</t>
  </si>
  <si>
    <t>Episcopal Digital Network (Sponsorship)</t>
  </si>
  <si>
    <t>$4,000 already spent - staff to check for further reductions</t>
  </si>
  <si>
    <t>Conferences and Registration Fees</t>
  </si>
  <si>
    <t>Marketing &amp; Advertising</t>
  </si>
  <si>
    <t>Web Hosting</t>
  </si>
  <si>
    <t>Episcopal Digital Network Total</t>
  </si>
  <si>
    <t>Digital Evangelism</t>
  </si>
  <si>
    <t>Training materials and curricula for digital storytellers (A172)</t>
  </si>
  <si>
    <t>Content for download</t>
  </si>
  <si>
    <t>Reflects increased use of studio</t>
  </si>
  <si>
    <t>1 part-time marketing specialist (contractor)</t>
  </si>
  <si>
    <t>Original images and art work</t>
  </si>
  <si>
    <t>Original video</t>
  </si>
  <si>
    <t>Not needed</t>
  </si>
  <si>
    <t>Software platforms</t>
  </si>
  <si>
    <t>Latino and Spanish-speaking digital evangelism efforts</t>
  </si>
  <si>
    <t>Advertising</t>
  </si>
  <si>
    <t>Additional initiatives</t>
  </si>
  <si>
    <t>Printing Costs</t>
  </si>
  <si>
    <t>$24,000 already spent - staff to check for further reduction</t>
  </si>
  <si>
    <t>Marketing &amp; Advertising (HubSpot, etc.)</t>
  </si>
  <si>
    <t>Sermons that Work (Eng. Sp)</t>
  </si>
  <si>
    <t>Bulletin Inserts</t>
  </si>
  <si>
    <t>Bible Study: Eng. Spanish</t>
  </si>
  <si>
    <t>Digital Evangelism Total</t>
  </si>
  <si>
    <t>Language (Translation) Services</t>
  </si>
  <si>
    <t>Translation Services</t>
  </si>
  <si>
    <t>Anticipate less face-to-face requirement</t>
  </si>
  <si>
    <t>25% travel reduction - staff to check for further reductions</t>
  </si>
  <si>
    <t>Equipment Purchases</t>
  </si>
  <si>
    <t>Conference and Registration Fees</t>
  </si>
  <si>
    <t>Mobile Communication Devices</t>
  </si>
  <si>
    <t>Language Services Total</t>
  </si>
  <si>
    <t>Defer of Copywriter/Editor position out of Deprtmental Expenses</t>
  </si>
  <si>
    <t xml:space="preserve">Public Affairs assitant returned to full time; added ENS reporter offset by other staff cost reductions and increased sponsorship income (line 18) </t>
  </si>
  <si>
    <t>Includes a proposed ENS reporter</t>
  </si>
  <si>
    <t>Communications - to be allocated</t>
  </si>
  <si>
    <t>Total Communications</t>
  </si>
  <si>
    <t>Formation Department</t>
  </si>
  <si>
    <t>INTENTIONALLY LEFT BLANK</t>
  </si>
  <si>
    <t>Departmental Costs:</t>
  </si>
  <si>
    <t>357a</t>
  </si>
  <si>
    <t>Resource Creation, Curriculum and Partnerships</t>
  </si>
  <si>
    <t xml:space="preserve">Reduction in LPTW consultants, scaled back on print materials, some ESC resource funding covered by constable, C014 will not meet in person this year, but will meet online </t>
  </si>
  <si>
    <t>This line shows a $100k decrease reflecting the completion of the Suicide Prevention project associated with 2018-C014 and reduced need for partnership support.</t>
  </si>
  <si>
    <t>357b</t>
  </si>
  <si>
    <t>Safe Church Training</t>
  </si>
  <si>
    <t>Cannot be reduced</t>
  </si>
  <si>
    <t xml:space="preserve">Continued work from GC2018 A048 and A109. This funds the work for The Task Force on Safe Church Trainings and Anti-Harassment.  The Formation Department serves as liaison to the Task Force. This funding will create Spanish Language Safe Church Training and Modules, implement English Train-the-Trainer trainings, establish a Safe Church resource person STAFF?) to help diocese and congregations implement the new trainings and answer questions. </t>
  </si>
  <si>
    <t xml:space="preserve">Continued work from GC2018 A048 and A109. This funds the work for The Task Force on Safe Church Trainings and Anti-Harassment, the Formation Department serves as liaison to the Task Force. This funding will create Spanish Language Safe Church Training and Modules, implement English Train-the-Trainer trainings, establish a Safe Church resource person to help diocese and congregations implement the new trainings and answer questions. </t>
  </si>
  <si>
    <t>Formation Networks and Leadership Development</t>
  </si>
  <si>
    <t>Young Adult and Campus Ministry Grants</t>
  </si>
  <si>
    <t>Costs of this ministry on campus increase each year</t>
  </si>
  <si>
    <t>Needed increase to reflect the increased cost of projects and services the applicants are seeing reflected.</t>
  </si>
  <si>
    <t>Young Adult &amp; Campus Ministry Events and Gatherings</t>
  </si>
  <si>
    <t>Moving the Annual Conference online.  Moving creation YACM discernment curriculum work to 2021.  Add $20K to 2021 if possible.</t>
  </si>
  <si>
    <t xml:space="preserve">Asking same as we asked for last triennium.  Young Adult Festival and the Young Adult and Campus Ministry Leadership Conference in 2022 and 2024 each at $50K </t>
  </si>
  <si>
    <t>361a</t>
  </si>
  <si>
    <t>CHANGE TO: Youth Events and Gatherings</t>
  </si>
  <si>
    <t>361b</t>
  </si>
  <si>
    <t>Episcopal Youth Event</t>
  </si>
  <si>
    <t>Part is on deposit for next year, with balance to be spent then.  Some funds will be needed in 2021.</t>
  </si>
  <si>
    <t>This is the normal pattern for funding EYE. In 2022 planning team meetings, site visits, etc.  Costs are highest in 2023 EYE year</t>
  </si>
  <si>
    <t>(with $400,000 of revenue from registrations)</t>
  </si>
  <si>
    <t>361c</t>
  </si>
  <si>
    <t>Evento de Jovenes Episcopales</t>
  </si>
  <si>
    <t>Push Expense to FY2021</t>
  </si>
  <si>
    <t>NEW: Episcopal Service Corps</t>
  </si>
  <si>
    <t xml:space="preserve">For 2018-2020, $200,000 was for Events and Gatherings. This line is now Episcopal Service Corps to fund ESC leadership development, network development, and gatherings of corps members. </t>
  </si>
  <si>
    <t>Other Departmental Costs</t>
  </si>
  <si>
    <t>Includes cutting travel budget from 55k to 35k - staff to check for further reductions</t>
  </si>
  <si>
    <t xml:space="preserve">Phones, hot spots, shipping/mailing costs, travel, computers, etc. </t>
  </si>
  <si>
    <t>364b</t>
  </si>
  <si>
    <t>Provides an increase for possibly hiring a 1/2 time person while reducing use of consultants, in order to be in compliance with IRS guidelines for determining whether a hire is a consultant or an employee. 
 If 1/2 FTE not permitted, must return $35K to 357b; $10K to 360; $20K to 363</t>
  </si>
  <si>
    <t>Total Formation &amp; Vocation</t>
  </si>
  <si>
    <t>Transition Ministries</t>
  </si>
  <si>
    <t>Program/Tech (Transition Min)</t>
  </si>
  <si>
    <t>Research &amp; Dev (Transition Min)</t>
  </si>
  <si>
    <t>Other OTM office, travel, training</t>
  </si>
  <si>
    <t>371b</t>
  </si>
  <si>
    <t>Total Transition Ministries</t>
  </si>
  <si>
    <t>TEC Block Grants</t>
  </si>
  <si>
    <t>Cuba</t>
  </si>
  <si>
    <t>Move to Mission Within</t>
  </si>
  <si>
    <t>Haiti</t>
  </si>
  <si>
    <t>Virgin Islands</t>
  </si>
  <si>
    <t>Province 2 Total</t>
  </si>
  <si>
    <t>North Dakota</t>
  </si>
  <si>
    <t>South Dakota</t>
  </si>
  <si>
    <t>Province 6 Total</t>
  </si>
  <si>
    <t>Alaska</t>
  </si>
  <si>
    <t>Navajoland</t>
  </si>
  <si>
    <t>Guam</t>
  </si>
  <si>
    <t>Taiwan</t>
  </si>
  <si>
    <t>Province 8 Total</t>
  </si>
  <si>
    <t>Consultation &amp; Planning Prov IX</t>
  </si>
  <si>
    <t>Implementation of Prov IX self-sustainability plan</t>
  </si>
  <si>
    <t>TBD in consultation with dioceses and EC</t>
  </si>
  <si>
    <t>Unallocated for Task Force and Consultants</t>
  </si>
  <si>
    <t>Colombia</t>
  </si>
  <si>
    <t>Maintain current levels</t>
  </si>
  <si>
    <t>Dominican Republic</t>
  </si>
  <si>
    <t>Diocese has substantial investment assets receiving high rates of return</t>
  </si>
  <si>
    <t>Ecuador Central</t>
  </si>
  <si>
    <t>Block grant ended in 2021.  This covers the remaining $500K Focus grant but may be used at diocesan discretion.  Diocese also has substantial investment assets</t>
  </si>
  <si>
    <t>Ecuador Litoral</t>
  </si>
  <si>
    <t>Diocese pays full assessment and is actively engaged across TEC</t>
  </si>
  <si>
    <t>Honduras</t>
  </si>
  <si>
    <t xml:space="preserve">TBD upon further discussion </t>
  </si>
  <si>
    <t>Venezuela</t>
  </si>
  <si>
    <t>Grants will not be released until financial audits are provided</t>
  </si>
  <si>
    <t>Diocese banks and does not use its block grant; grants will not be released until financial audits are provided</t>
  </si>
  <si>
    <t>Province 9 Total Block Grants</t>
  </si>
  <si>
    <t>Sustainability grants to US indigenous dioceses</t>
  </si>
  <si>
    <t>TBD in collaboration among 4 Indigenous dioceses</t>
  </si>
  <si>
    <t>Block Grant to ERD</t>
  </si>
  <si>
    <t>Free rent equivalent</t>
  </si>
  <si>
    <t>Total TEC Block Grants</t>
  </si>
  <si>
    <t>Total Mission Within the Episcopal Church</t>
  </si>
  <si>
    <t>DETAIL: MISSION BEYOND THE EPISCOPAL CHURCH</t>
  </si>
  <si>
    <t>Anglican Communion</t>
  </si>
  <si>
    <t>Inter-Anglican Budget/Secretariat</t>
  </si>
  <si>
    <t xml:space="preserve">Maintained at last triennium level </t>
  </si>
  <si>
    <t>International Visitors</t>
  </si>
  <si>
    <t>Cancelling all international visitor support for 2020</t>
  </si>
  <si>
    <t>Other departmental cost</t>
  </si>
  <si>
    <t>cancelling all international travel - staff to check for further reductions</t>
  </si>
  <si>
    <t xml:space="preserve">Staff travel for 6 staff members traveling </t>
  </si>
  <si>
    <t>Global Mission Development</t>
  </si>
  <si>
    <t>Promoting relationships and networking with partners across the Anglican Communion using digital technology</t>
  </si>
  <si>
    <t>Promotion and development of global mission; consultations</t>
  </si>
  <si>
    <t>Funds for conferences, online presence, webinars, interpretation and translation</t>
  </si>
  <si>
    <t>415b</t>
  </si>
  <si>
    <t>NOTE: There will be saving here if we do not hire an Africa officer in 2020</t>
  </si>
  <si>
    <t>Includes border and worldwide missionaries</t>
  </si>
  <si>
    <t>Total Anglican Communion</t>
  </si>
  <si>
    <t>Block Grants w/in Anglican Communion</t>
  </si>
  <si>
    <t xml:space="preserve">Maintaining all Block grants </t>
  </si>
  <si>
    <t>Provides support to the Provincial Secretariat</t>
  </si>
  <si>
    <t>Burundi</t>
  </si>
  <si>
    <t>Will be refashioned for 2023-2024</t>
  </si>
  <si>
    <t>Central Africa</t>
  </si>
  <si>
    <t>Congo</t>
  </si>
  <si>
    <t>South Sudan</t>
  </si>
  <si>
    <t>Conf of Angl Prov in Africa (CAPA)</t>
  </si>
  <si>
    <t>African Network Theol Ed (ANITEPAM)</t>
  </si>
  <si>
    <t>Epis Church of Philippines</t>
  </si>
  <si>
    <t>Jt Cte Philippines</t>
  </si>
  <si>
    <t>Caribbean</t>
  </si>
  <si>
    <t>Cuba moved to Mission Within Province 2</t>
  </si>
  <si>
    <t>Other Angl Communion Costs</t>
  </si>
  <si>
    <t>Brazil Secretariat</t>
  </si>
  <si>
    <t>To be allocated</t>
  </si>
  <si>
    <t>Total Grants w/in Angl Communion</t>
  </si>
  <si>
    <t>Covenants w/in Angl Communion</t>
  </si>
  <si>
    <t>Covenant Long-term Development Fund</t>
  </si>
  <si>
    <t>Support partners to continue or re-start sustainable development initiatives in COVID environment</t>
  </si>
  <si>
    <t>Funds to support covenant and bilateral  partners in their long term sustainability projects</t>
  </si>
  <si>
    <t>IARCA (Central America)</t>
  </si>
  <si>
    <t>Liberia</t>
  </si>
  <si>
    <t>Mexico</t>
  </si>
  <si>
    <t>Covenant Committees</t>
  </si>
  <si>
    <t>Cancelling all committee meetings for the year</t>
  </si>
  <si>
    <t>Less travel</t>
  </si>
  <si>
    <t>Total Covenants Anglican Comm.</t>
  </si>
  <si>
    <t>Total Grants, Covenants w/in Anglican Communion</t>
  </si>
  <si>
    <t>Internat'l Justice &amp; Peacemaking/UN Presence</t>
  </si>
  <si>
    <t>Grants to Partner Organizations</t>
  </si>
  <si>
    <t>Maintaint support for UN partner membership costs</t>
  </si>
  <si>
    <t>Anglican Peace &amp; Justice Network</t>
  </si>
  <si>
    <t>Other departmental Costs</t>
  </si>
  <si>
    <t>Cancelling all UN event funding for the year</t>
  </si>
  <si>
    <t>Cost to support Episcopal Church presence at events such as UNCSW and other UN gatherings</t>
  </si>
  <si>
    <t>Internat'l Justice &amp; Peacemaking Total</t>
  </si>
  <si>
    <t>Refugee Ministry (Non-Government)</t>
  </si>
  <si>
    <t>Departmental Costs Miami</t>
  </si>
  <si>
    <t>Departmental Costs New York</t>
  </si>
  <si>
    <t xml:space="preserve">Eliminate travel and limit printed resource materials - staff to check for further reductions </t>
  </si>
  <si>
    <t>Church engagement; asylum seekers</t>
  </si>
  <si>
    <t>Training platforms (Basecamp, GoToWebinar), resource materials, general office costs, limited travel</t>
  </si>
  <si>
    <t>454b</t>
  </si>
  <si>
    <t>Refugee Non-Govt Staff Cost</t>
  </si>
  <si>
    <t>2.0 FTEs. The amounts in lines 454 and 457 represent the managment of programs not funded by the government, primarily work with asylum seekers. One-third of the budget in 2022 and in the abbreviated 2-year triennium is to be covered with fundraisng by the Office of Development.</t>
  </si>
  <si>
    <t>Refugee Loan Collection Other</t>
  </si>
  <si>
    <t>Refugee Loan Collection Staff Cost</t>
  </si>
  <si>
    <t>Offset by income in line 21</t>
  </si>
  <si>
    <t>Staff Costs Miami</t>
  </si>
  <si>
    <t>n/a</t>
  </si>
  <si>
    <t>Total Refugee Ministry (Non-Government)</t>
  </si>
  <si>
    <t>Missionary Service</t>
  </si>
  <si>
    <t>Appointed Missionaries</t>
  </si>
  <si>
    <t>Volunteers for Mission</t>
  </si>
  <si>
    <t>Young Adult Service Corps</t>
  </si>
  <si>
    <t>AHK will discuss with Copley Robertson</t>
  </si>
  <si>
    <t>Consistent with costs in 2018/2019 pre-COVID.  Staff travel, phone costs, publicity, meeting expenses, mailing, translation, and interpretation as needed.  Anticipate increased travel and travel costs</t>
  </si>
  <si>
    <t>Less Income</t>
  </si>
  <si>
    <t>Reduced asking for YASC down fom $10,000 to $5,000 in allignment with other denominational programs</t>
  </si>
  <si>
    <t>Total Mission Personnel</t>
  </si>
  <si>
    <t>Cancelling YASC for 2020 and no new EVIM for the year</t>
  </si>
  <si>
    <t xml:space="preserve">Office of Government Relations </t>
  </si>
  <si>
    <t>Program work and partnerships</t>
  </si>
  <si>
    <t>All program and office costs, intern stipends, consultants and coalition memberships</t>
  </si>
  <si>
    <t xml:space="preserve">Fixed cost </t>
  </si>
  <si>
    <t>EPPN software and subscriptions</t>
  </si>
  <si>
    <t xml:space="preserve">Fixed cost for EPPN software based on contract with service provider </t>
  </si>
  <si>
    <t>Office expenses, phones, internet, translation</t>
  </si>
  <si>
    <t xml:space="preserve">Fixed costs for office internet and phones </t>
  </si>
  <si>
    <t>Includes funding for translation for OGR materials and webinars</t>
  </si>
  <si>
    <t>Budgeting only $5000 for 5 staff travel for the rest of the year - $10,000 already spent - staff to check for further reductions</t>
  </si>
  <si>
    <t>475b</t>
  </si>
  <si>
    <t>Will be using consultants during 2H2020</t>
  </si>
  <si>
    <t>OGR Total</t>
  </si>
  <si>
    <t>Ecumenical, Interfaith, Global Relations</t>
  </si>
  <si>
    <t>Anglican Communion Reconciliation and Development Initiatives</t>
  </si>
  <si>
    <t>Under Global Partnerships programming. Cancel all development initiatives for the year.  Amounts  agreed by MissBeyond</t>
  </si>
  <si>
    <t>Provide emergency support for partner Provinces and targeted support for development initiatives, especially in areas not covered by Episcopal Relief and Development</t>
  </si>
  <si>
    <t>Global Networking</t>
  </si>
  <si>
    <t>Under Global Partnerships Programming. Funds already allocated and mostly spent</t>
  </si>
  <si>
    <t>Funds to develop specific online mission presences such as mission mapping, and development of the global mission toolkit</t>
  </si>
  <si>
    <t>Support for Ecumenical Reps</t>
  </si>
  <si>
    <t>Largely travel for meetings</t>
  </si>
  <si>
    <t>Coordinating Committees</t>
  </si>
  <si>
    <t>Interfaith Relations</t>
  </si>
  <si>
    <t>Dialogues</t>
  </si>
  <si>
    <t>Churches Uniting in Christ</t>
  </si>
  <si>
    <t>PB Deputy for Ecumenical Relations</t>
  </si>
  <si>
    <t>WCC Assembly</t>
  </si>
  <si>
    <t>Accrual for meeting in 2021</t>
  </si>
  <si>
    <t>Accrual from 2013/ WCCmeets in 2022/ will need to use accrued amount</t>
  </si>
  <si>
    <t>Saving for WCC  Assembly planned for 2029</t>
  </si>
  <si>
    <t>New projects</t>
  </si>
  <si>
    <t xml:space="preserve">Includes  trainings with Shoulder to Shoulder  ( Faith over Fear) church engagement communications / web work </t>
  </si>
  <si>
    <t>490b</t>
  </si>
  <si>
    <t>Internship</t>
  </si>
  <si>
    <t>Total Ecum., Interf., Global Relations</t>
  </si>
  <si>
    <t>Ecumenical Dues</t>
  </si>
  <si>
    <t>World Council of Churches</t>
  </si>
  <si>
    <t>Already paid</t>
  </si>
  <si>
    <t>National Ministries Unit NCC</t>
  </si>
  <si>
    <t>NCC Ecumenical Commitment Fund</t>
  </si>
  <si>
    <t>Christian Churches Together US</t>
  </si>
  <si>
    <t>Ecumenical bodies on Climate Change</t>
  </si>
  <si>
    <t>Will await engagement for 2021</t>
  </si>
  <si>
    <t>Total Ecumenical Dues</t>
  </si>
  <si>
    <t>Grants in form of Contributed Services Support to Affiliated Organizations</t>
  </si>
  <si>
    <t>Episcopal Relief &amp; Development</t>
  </si>
  <si>
    <t>Anglican UN Office</t>
  </si>
  <si>
    <t>Coll/Universities Angl Communion</t>
  </si>
  <si>
    <t>Episcopal Church Foundation</t>
  </si>
  <si>
    <t>Natl Assoc. Episcopal Schools</t>
  </si>
  <si>
    <t>Ch Periodical Club/BCP Society</t>
  </si>
  <si>
    <t>Total Supp. Affiliated Organizations</t>
  </si>
  <si>
    <t>Less: Offset of Support</t>
  </si>
  <si>
    <t>Total Mission Beyond the Episcopal Church</t>
  </si>
  <si>
    <t>DETAIL: MISSION GOVERNANCE</t>
  </si>
  <si>
    <t>General Convention Office</t>
  </si>
  <si>
    <t>Meeting of the General Convention</t>
  </si>
  <si>
    <t>Deposits for contracts</t>
  </si>
  <si>
    <t>Site inspection for 2027 costs and deposits for 2024.
Includes $225,000 balance from 2020 for the logistics of the 80th GC.  Money was not used as planned due to the postponement of the GC to 2022.</t>
  </si>
  <si>
    <t>Revenue for fees and registration shown in Line 16
Logistical cost to produce GC, includes Official Youth
Presence and GC Children's Program</t>
  </si>
  <si>
    <t>Executive Council</t>
  </si>
  <si>
    <t>Cancelled meeting in Puerto Rico (deposit paid for meeting to be moved to 2022.  Meetings converting to Zoom, less liaison travel.  Staff to check for further savings if fall F2F meetings canceled.</t>
  </si>
  <si>
    <t>Three annual meetings of EC, meetings of committees of 
Council, EC Liaison travel and D&amp;O insurance</t>
  </si>
  <si>
    <t>515-518</t>
  </si>
  <si>
    <t>Interim Bodies of the General Convention</t>
  </si>
  <si>
    <t>Cancelled joint meeting in April and other fringe meetings.  Still want to meet F2F in the fall. Staff to check of savings if no  fall F2F</t>
  </si>
  <si>
    <t>Large initial meeting of Interim Bodies face-to-face in fall 2022</t>
  </si>
  <si>
    <t>Support of face to face, hybrid and virtual meetings, 
consultants to support this work</t>
  </si>
  <si>
    <t>520-521</t>
  </si>
  <si>
    <t>Board to assist Office of Pastoral Development for bishop calling</t>
  </si>
  <si>
    <t>Work on best practices.  GCO to identify potential savings</t>
  </si>
  <si>
    <t>Accrual for PB Nomination, Election, Transition, Installation</t>
  </si>
  <si>
    <t>To cover costs of PB Election, Transition and Installation</t>
  </si>
  <si>
    <t>524-530</t>
  </si>
  <si>
    <t>531a</t>
  </si>
  <si>
    <t>SC SCLM Prayer Book Revision</t>
  </si>
  <si>
    <t>531b</t>
  </si>
  <si>
    <t>Current Prayer Book Translation</t>
  </si>
  <si>
    <t>Consultants under contract for this work, possible saving based on their work</t>
  </si>
  <si>
    <t>Work delayed in 2021</t>
  </si>
  <si>
    <t>Canonical Reporting</t>
  </si>
  <si>
    <t>Plans on hold for the development of programs to support reporting</t>
  </si>
  <si>
    <t>Efficiencies from technology</t>
  </si>
  <si>
    <t>Lower costs due to efficiencies with technology</t>
  </si>
  <si>
    <t>Technology for General Convention Governance</t>
  </si>
  <si>
    <t>Includes unspent balance of $263,500 in 2020 due to timing of projects and deferred GC</t>
  </si>
  <si>
    <t>Note: This number may need to increase should resolution A098 be implemented</t>
  </si>
  <si>
    <t>Translation and Interpretation for Governance</t>
  </si>
  <si>
    <t>Some savings in travel for interpreters to Executive Council and Interim Bodies meetings.  Increase in the needs for  interpretation and translations to support virtual meetings</t>
  </si>
  <si>
    <t xml:space="preserve">Includes unspent balance of $60,000 from 2020 that resulted due to delayed translation of reports </t>
  </si>
  <si>
    <t>Covers Interpretation/Translation needs for all governance lines
Should additional languages be added this may need to go up</t>
  </si>
  <si>
    <t>Research (Parochial and Diocesan Reports)</t>
  </si>
  <si>
    <t>Software systems for database</t>
  </si>
  <si>
    <t>Research Demographic software, FACT membership dues</t>
  </si>
  <si>
    <t>Operation and Other Expenses of the GC Office</t>
  </si>
  <si>
    <t>Less travel - staff to check for further reductions</t>
  </si>
  <si>
    <t>General Office expenses, registrar of General Convention and staff travel</t>
  </si>
  <si>
    <t>Other cost reductions</t>
  </si>
  <si>
    <t>538b</t>
  </si>
  <si>
    <t xml:space="preserve">Reserved for GC80 </t>
  </si>
  <si>
    <t>Total Office of General Convention</t>
  </si>
  <si>
    <t>Provincial Coordination</t>
  </si>
  <si>
    <t>Support for Provinces I-VIII Coordination</t>
  </si>
  <si>
    <t>Total for 2016-2018 was $135K.  This $5K per annum was to be extended only for 2019-2021.  Provincial Leadership has requested $10K per Province + $5K for translation</t>
  </si>
  <si>
    <t>Includes $10K is for Interpretation support for meetings (virtual and F2F).  Provincial Leadership requested $10K per annum for each Province</t>
  </si>
  <si>
    <t>Support for Province IX Coordination</t>
  </si>
  <si>
    <t>This was to be extended only for 2019-2021</t>
  </si>
  <si>
    <t>Ongoing support for Province IX coordination</t>
  </si>
  <si>
    <t>Support for Provincial Coordination Total</t>
  </si>
  <si>
    <t>House of Deputies</t>
  </si>
  <si>
    <t>Council of Advice</t>
  </si>
  <si>
    <t xml:space="preserve">Per PHOD, Defer $16,000 to 2021 </t>
  </si>
  <si>
    <t>Three meetings, 10-person council</t>
  </si>
  <si>
    <t>Assumes 6 meetings of 10-person council</t>
  </si>
  <si>
    <t>Discretionary Fund</t>
  </si>
  <si>
    <t>550a</t>
  </si>
  <si>
    <t>Chancellor Consulting fees</t>
  </si>
  <si>
    <t>Consulting fee increased by 12% in 2022</t>
  </si>
  <si>
    <t>550b</t>
  </si>
  <si>
    <t>Chancellor expenses</t>
  </si>
  <si>
    <t>Covers Chancellor fees for annual meetings and licenses, subscriptions</t>
  </si>
  <si>
    <t>Chancellor fees for annual meetings and licenses, subscriptions</t>
  </si>
  <si>
    <t>Communications Consultants</t>
  </si>
  <si>
    <t>Original budget incorrect</t>
  </si>
  <si>
    <t>Assumes consulting contracts for 8 months; then work assumed by two staff for 5 months</t>
  </si>
  <si>
    <t>Per PHOD, further travel reductions</t>
  </si>
  <si>
    <t>May need to be adjusted depending on where new PHOD and staff live</t>
  </si>
  <si>
    <t>May need adjustment based on where PHOD resides</t>
  </si>
  <si>
    <t>GC expenses for PHOD</t>
  </si>
  <si>
    <t>554a</t>
  </si>
  <si>
    <t>Phone/Telecom</t>
  </si>
  <si>
    <t>If PHOD staff are not consultants, this figure may be higher</t>
  </si>
  <si>
    <t>May increase if staff are employees, not consultants</t>
  </si>
  <si>
    <t>554b</t>
  </si>
  <si>
    <t>Phone/Telecom PHOD Transition</t>
  </si>
  <si>
    <t>Parliamentarians</t>
  </si>
  <si>
    <t>Might be more savings</t>
  </si>
  <si>
    <t>Annual education, resources, professional licenses; one Boot Camp with 2 parliamentarians in prep for GC</t>
  </si>
  <si>
    <t>Media, ;postage, general expenses</t>
  </si>
  <si>
    <t>556b</t>
  </si>
  <si>
    <t>Reserved for GC80</t>
  </si>
  <si>
    <t>556c</t>
  </si>
  <si>
    <t>Other Departmental Costs for PHOD Transition</t>
  </si>
  <si>
    <t>PHOD transition costs</t>
  </si>
  <si>
    <t>Staff Costs including PHOD</t>
  </si>
  <si>
    <t>Total House of Deputies</t>
  </si>
  <si>
    <t>Archives</t>
  </si>
  <si>
    <t>Digital Archives/Electronic Records</t>
  </si>
  <si>
    <t xml:space="preserve">Represents 2022 allocation of triennial funding.  (1) Funds were reallocated from Other Costs line and (2) notable increase in cost for data storage and full implementation of the Digital Repository.  </t>
  </si>
  <si>
    <t>Rent and storage</t>
  </si>
  <si>
    <t>This line includes only the off-site storage facilities in Austin ($31K).  Adds $10K in new taxes</t>
  </si>
  <si>
    <t>Recent increases in Austin taxes are being challenged by landlord</t>
  </si>
  <si>
    <t>Other costs</t>
  </si>
  <si>
    <t>If includes travel, staff to check for further reductions</t>
  </si>
  <si>
    <t>Reduced by reallocation to Digital Archives.</t>
  </si>
  <si>
    <t>563b</t>
  </si>
  <si>
    <t>Archives Total</t>
  </si>
  <si>
    <t>Total Governance Expenses</t>
  </si>
  <si>
    <t>DETAIL: MISSION FINANCE LEGAL OPERATIONS</t>
  </si>
  <si>
    <t>Development Office</t>
  </si>
  <si>
    <t>Other Cost</t>
  </si>
  <si>
    <t>Dedicated Work in Haiti</t>
  </si>
  <si>
    <t>Donor Cultivation</t>
  </si>
  <si>
    <t>Presentation Materials, postage, database management</t>
  </si>
  <si>
    <t>Campaign design, printing, acknowledgement</t>
  </si>
  <si>
    <t>Research</t>
  </si>
  <si>
    <t>Donor prospecting, screening; Raisers’ Edge database software; training</t>
  </si>
  <si>
    <t xml:space="preserve">Grant Writing </t>
  </si>
  <si>
    <t>Grant writing being done in-house</t>
  </si>
  <si>
    <t>Production, printing; Foundation relations and research</t>
  </si>
  <si>
    <t>Special Events</t>
  </si>
  <si>
    <t>Receptions; pilgrimages; donor cultivation: up to 5 annually</t>
  </si>
  <si>
    <t>Annual Campaign</t>
  </si>
  <si>
    <t>Annual Campaign for general operations includes $179K of staff  cost involved (as required by GAAP)</t>
  </si>
  <si>
    <t xml:space="preserve">Project Resource </t>
  </si>
  <si>
    <t>Cuba fundraising</t>
  </si>
  <si>
    <t>Specific need not yet defined</t>
  </si>
  <si>
    <t>Conferences</t>
  </si>
  <si>
    <t>Consortium of Endowed Episcopal Parishes and other conference registration and attendance</t>
  </si>
  <si>
    <t>Technology, equipment</t>
  </si>
  <si>
    <t>Professional development</t>
  </si>
  <si>
    <t xml:space="preserve">Professional development for staff </t>
  </si>
  <si>
    <t>Staff Cost</t>
  </si>
  <si>
    <t>Development Office to be allocated</t>
  </si>
  <si>
    <t>Total Development Office</t>
  </si>
  <si>
    <t>Finance</t>
  </si>
  <si>
    <t>Controller's Office</t>
  </si>
  <si>
    <t>Audit</t>
  </si>
  <si>
    <t>Includes additional work required by NYC Finance for RE taxes</t>
  </si>
  <si>
    <t>Payroll Management</t>
  </si>
  <si>
    <t>Other non-staff</t>
  </si>
  <si>
    <t>Controller's Office Department Total</t>
  </si>
  <si>
    <t>Treasurer's Office</t>
  </si>
  <si>
    <t>Property, Casualty &amp; Liability insurance</t>
  </si>
  <si>
    <t>Increased premiums for sexual misconduct, professional liability, property and casualty insurance</t>
  </si>
  <si>
    <t>D&amp;O insurance</t>
  </si>
  <si>
    <t>Increased D&amp;O premiums; excludes $75K of costs for EC, Interim Bodies</t>
  </si>
  <si>
    <t>599a</t>
  </si>
  <si>
    <t>Banking Fees</t>
  </si>
  <si>
    <t>599b</t>
  </si>
  <si>
    <t xml:space="preserve">Cancel Concur </t>
  </si>
  <si>
    <t>Adds invoice processing software</t>
  </si>
  <si>
    <t>Telephone &amp; Telecom.</t>
  </si>
  <si>
    <t>Training, State registrations, misc.</t>
  </si>
  <si>
    <t>Consultants (social responsibility); temps</t>
  </si>
  <si>
    <t>Includes Corp Soc. Resp. Investment consultant</t>
  </si>
  <si>
    <t>Treasurer's Office Department Total</t>
  </si>
  <si>
    <t>Increase reflects substantially higher premiums for D&amp;O, property, cyber. and other insurance coverage</t>
  </si>
  <si>
    <t>Debt Service Principal &amp; Interest</t>
  </si>
  <si>
    <t>Uncollateralized long-term borrowing for general purposes.  Principal reduction $1.480 mil annually; fixed interest rate through 2025 at 1.68%.</t>
  </si>
  <si>
    <t>Controller's Office Staff Costs</t>
  </si>
  <si>
    <t>Staff vacancy</t>
  </si>
  <si>
    <t>Treasurer's Office Staff Costs</t>
  </si>
  <si>
    <t>Treas. Recovery from Unrestricted trust reserves</t>
  </si>
  <si>
    <t>Treasury staff work for trust and investment</t>
  </si>
  <si>
    <t>Finance Other Costs</t>
  </si>
  <si>
    <t>Total Finance</t>
  </si>
  <si>
    <t>Miscellaneous Departmental Costs</t>
  </si>
  <si>
    <t>Legal Expense Churchwide Conflict Res.</t>
  </si>
  <si>
    <t>Optimistic prediction of litigation costs; less use of outside counsel.  Likely to rise</t>
  </si>
  <si>
    <t>Includes property actions</t>
  </si>
  <si>
    <t>Chief Legal Officer firm contract</t>
  </si>
  <si>
    <t xml:space="preserve">Interim legal counsel; search consultant.  Likely to rise upon selection of CLO - GO suggests adding 1/4 of former CLO firm fee </t>
  </si>
  <si>
    <t>External specialized counsel</t>
  </si>
  <si>
    <t>New open windows in statutes of limitations have led to new suits; insurance coverage issues requiring outside counsel</t>
  </si>
  <si>
    <t>PT associate counsel moved to staff costs</t>
  </si>
  <si>
    <t>Increase for certain specialized assistance (e.g., Boy Scouts bankruptcy)</t>
  </si>
  <si>
    <t>Telecom</t>
  </si>
  <si>
    <t>Office expense</t>
  </si>
  <si>
    <t>622a</t>
  </si>
  <si>
    <t>PT assistance added</t>
  </si>
  <si>
    <t>Includes CLO, Chancellor and 2 PT Senior Legal Counsels</t>
  </si>
  <si>
    <t>622b</t>
  </si>
  <si>
    <t>Legal Recovery from Unrestricted trust reserves</t>
  </si>
  <si>
    <t>Legal staff work for trust and investment</t>
  </si>
  <si>
    <t>Total Legal</t>
  </si>
  <si>
    <t>FT Chancellor; trademark lititgation costs; CLO mandated by Canons</t>
  </si>
  <si>
    <t>Chief Operating Officer</t>
  </si>
  <si>
    <t>626a</t>
  </si>
  <si>
    <t>No ftf In House; less travel - staff to check for further reductions</t>
  </si>
  <si>
    <t>626b</t>
  </si>
  <si>
    <t>Non-GC travel reduced 10%.</t>
  </si>
  <si>
    <t>627b</t>
  </si>
  <si>
    <t>Total Chief Operating Officer</t>
  </si>
  <si>
    <t>Human Resources</t>
  </si>
  <si>
    <t>Retiree Medical Costs</t>
  </si>
  <si>
    <t>Includes Medicare Part B supplements for lay retirees</t>
  </si>
  <si>
    <t>632a</t>
  </si>
  <si>
    <t>632b</t>
  </si>
  <si>
    <t>Eliminate conferences, travel, freeze professional development funding to 2021.  Check cost assumed - staff to check for further reductions</t>
  </si>
  <si>
    <t>Now includes $70K for anti-oppression training</t>
  </si>
  <si>
    <t>632c</t>
  </si>
  <si>
    <t>Total Human Resources</t>
  </si>
  <si>
    <t>Information Technology</t>
  </si>
  <si>
    <t>This keeps us connected</t>
  </si>
  <si>
    <t>Total Departmental costs</t>
  </si>
  <si>
    <t>637b</t>
  </si>
  <si>
    <t>Other Department Costs</t>
  </si>
  <si>
    <t>For IT security and related services</t>
  </si>
  <si>
    <t>GC travel now assumed by IT, not GCO</t>
  </si>
  <si>
    <t>Will work to reduce telcom expenses - assuming more staff works remote, moving to soft client phones via the computer and reduce phone services at 815. Moving excess to Online services</t>
  </si>
  <si>
    <t>Maintenance</t>
  </si>
  <si>
    <t>Postage and delivery</t>
  </si>
  <si>
    <t>Assumes more staff working remotely.</t>
  </si>
  <si>
    <t>Supplies</t>
  </si>
  <si>
    <t>Software</t>
  </si>
  <si>
    <t>Hardware</t>
  </si>
  <si>
    <t>-- Infrastructure/Hardware - Reserve</t>
  </si>
  <si>
    <t>Computer upgrades, and hardware in the datacenter. Migrate remaining desktop users to laptops for any future pandemics (15K). Plan for Archives migration (30K reserve due to antiquated hardware)</t>
  </si>
  <si>
    <t>-- Hardware- Perishables</t>
  </si>
  <si>
    <t>Online</t>
  </si>
  <si>
    <t xml:space="preserve">Reduced internet service provider costs are offset by Zoom and other online services during the pandemic. </t>
  </si>
  <si>
    <t xml:space="preserve">Convention center fees for internet, use of network and wireless at hotels 70K, 5k for staff overtime, 5k for new firewalls hardware - estimated. Pending discussion with Canon Barlowe /Patrick Haziel due to complexity of allocation of time and resources.  </t>
  </si>
  <si>
    <t>648b</t>
  </si>
  <si>
    <t>Staff adjustment</t>
  </si>
  <si>
    <t>Total Information Technology</t>
  </si>
  <si>
    <t>Facilities Management</t>
  </si>
  <si>
    <t>All COVID-related expenses presume tenant offices return to full occupany all year.</t>
  </si>
  <si>
    <t>Building Service and Maintenance</t>
  </si>
  <si>
    <t>Building Management</t>
  </si>
  <si>
    <t>Cleaning contractor</t>
  </si>
  <si>
    <t>Includes FY2021 COVID-19 day cleaner $93,600.00</t>
  </si>
  <si>
    <t>Engineers contract</t>
  </si>
  <si>
    <t>Security guard contract</t>
  </si>
  <si>
    <t>Security guard</t>
  </si>
  <si>
    <t>Position eliminated  probably need additional due to COVID-19</t>
  </si>
  <si>
    <t>Additional guard 40 hours weekly; FY2021 with tenant and DFMS return to occupancy</t>
  </si>
  <si>
    <t>Utilities</t>
  </si>
  <si>
    <t>Decorating and remodeling</t>
  </si>
  <si>
    <t>5th floor renovation; but add additional costs of distancing</t>
  </si>
  <si>
    <t>5th floor renovation completed in 2020</t>
  </si>
  <si>
    <t>Bulbs and lighting</t>
  </si>
  <si>
    <t>HVAC maintenance</t>
  </si>
  <si>
    <t>Increased air flow required</t>
  </si>
  <si>
    <t>Higher costs due to change in regulations regarding cooling towers; increased wear and tear replacement costs for chiller repairs, pump replacements and electronics</t>
  </si>
  <si>
    <t>Electrical contractors</t>
  </si>
  <si>
    <t>Plumbing contractors</t>
  </si>
  <si>
    <t xml:space="preserve">Additionally, we are seeing an uptick in </t>
  </si>
  <si>
    <t>Carpentry and hardware</t>
  </si>
  <si>
    <t>Windows and glass</t>
  </si>
  <si>
    <t>Painting</t>
  </si>
  <si>
    <t>Fire Alarm &amp; Safety maintenance and contractors</t>
  </si>
  <si>
    <t>Includes COVID-19 2021 $19,900.00 for Canon Software and H&amp;S supplies</t>
  </si>
  <si>
    <t>Elevator contractors</t>
  </si>
  <si>
    <t>Building supplies</t>
  </si>
  <si>
    <t>Pest control</t>
  </si>
  <si>
    <t>Refuse collection</t>
  </si>
  <si>
    <t>Temporary staff (project work)</t>
  </si>
  <si>
    <t>Miscellaneous services</t>
  </si>
  <si>
    <t>NYC required façade inspection &amp; possible repair ($350,000); Rooftop generator safety catwalk now required by NYC Code ($120,000)</t>
  </si>
  <si>
    <t>Budget established in 2022 should be adequate until next inspection in 2026.</t>
  </si>
  <si>
    <t>Carpet replacement</t>
  </si>
  <si>
    <t>Materials only.  Carpet squares are installed by staff.</t>
  </si>
  <si>
    <t>Chiller repair or replacement</t>
  </si>
  <si>
    <t>Building Services Total</t>
  </si>
  <si>
    <t>Mail Center</t>
  </si>
  <si>
    <t>Equipment rental</t>
  </si>
  <si>
    <t>Trucking pickup/delivery</t>
  </si>
  <si>
    <t>90% of costs will be recovered thru interdepartmental &amp; tenant billing (line item 25)</t>
  </si>
  <si>
    <t>90% of costs recovered thru interdepartmental &amp; tenant billing (line item 25)</t>
  </si>
  <si>
    <t>Mail and packaging</t>
  </si>
  <si>
    <t>685b</t>
  </si>
  <si>
    <t>Mail Center Total</t>
  </si>
  <si>
    <t>Purchasing</t>
  </si>
  <si>
    <t>Supplies and lettershop</t>
  </si>
  <si>
    <t>20% reduction mirrors fewer meetings</t>
  </si>
  <si>
    <t>Purchasing Total</t>
  </si>
  <si>
    <t>692b</t>
  </si>
  <si>
    <t>Total Facilities Management</t>
  </si>
  <si>
    <t>Total Operations</t>
  </si>
  <si>
    <t>Total Finance, Legal and Operations</t>
  </si>
  <si>
    <t xml:space="preserve">EC BUDGET </t>
  </si>
  <si>
    <t>Draft 08052021</t>
  </si>
  <si>
    <t>STAFFING</t>
  </si>
  <si>
    <t>PROGRAM, BUDGET &amp; FINANCE PROPOSED BUDGET</t>
  </si>
  <si>
    <t>Department</t>
  </si>
  <si>
    <t>Staffing in EC Budget 2018</t>
  </si>
  <si>
    <t>Staffing in 2019-2021 Budget</t>
  </si>
  <si>
    <t>Staffing in 2022 Budget</t>
  </si>
  <si>
    <t>2023-2024</t>
  </si>
  <si>
    <t>2022-2024</t>
  </si>
  <si>
    <t xml:space="preserve"> (Base salary increases 3% pa; medical cost increases 4% pa 2022, 9% pa 2023/2024)</t>
  </si>
  <si>
    <t>Salary</t>
  </si>
  <si>
    <t>Medical</t>
  </si>
  <si>
    <t>Other*</t>
  </si>
  <si>
    <t>Total</t>
  </si>
  <si>
    <t>Other</t>
  </si>
  <si>
    <t>x</t>
  </si>
  <si>
    <t>Church Planting</t>
  </si>
  <si>
    <t>Communication</t>
  </si>
  <si>
    <t>Controller</t>
  </si>
  <si>
    <t>Director of Mission</t>
  </si>
  <si>
    <t>Ecumenical &amp; Interfaith</t>
  </si>
  <si>
    <t>EMM Government</t>
  </si>
  <si>
    <t>EMM Non-Government</t>
  </si>
  <si>
    <t>Ethnic Ministries</t>
  </si>
  <si>
    <t>Facilities (Bldg Svcs and Mail)</t>
  </si>
  <si>
    <t>Federal Ministries</t>
  </si>
  <si>
    <t>Formation</t>
  </si>
  <si>
    <t>GBEC</t>
  </si>
  <si>
    <t>General Convention</t>
  </si>
  <si>
    <t>Missionary Staff</t>
  </si>
  <si>
    <t>OGR</t>
  </si>
  <si>
    <t>Presiding Bishop</t>
  </si>
  <si>
    <t>Rec &amp; Justice</t>
  </si>
  <si>
    <t>Refugee Loan Collection</t>
  </si>
  <si>
    <t>Refugee Non-Govt</t>
  </si>
  <si>
    <t>Title IV</t>
  </si>
  <si>
    <t>Transition Ministries &amp; Vocation</t>
  </si>
  <si>
    <t>Treasurer</t>
  </si>
  <si>
    <t>UTO</t>
  </si>
  <si>
    <t>Other includes SECA/FICA, pension, life insurance, ST disability, LT disability, NY family leave, NYC commuter tax</t>
  </si>
  <si>
    <t>1% change equals $150K</t>
  </si>
  <si>
    <t>Equals 24% of base salaries</t>
  </si>
  <si>
    <t>1% changes equals approx. $185K</t>
  </si>
  <si>
    <t>Consistent with directives of FFM-078 June 2017</t>
  </si>
  <si>
    <t>375a</t>
  </si>
  <si>
    <t>See line 375a</t>
  </si>
  <si>
    <t>Line funds consultants supporting work to support ongoing efforts across the church. Expect GC advisory group to propose figures for larger scale church-wide work.</t>
  </si>
  <si>
    <t>Broken down into lines 85 and 86</t>
  </si>
  <si>
    <t>BBC Grants and Summit, if continued at rate from prior triennium</t>
  </si>
  <si>
    <t>Triennial Event</t>
  </si>
  <si>
    <t>513a</t>
  </si>
  <si>
    <t>513b</t>
  </si>
  <si>
    <t>Assistance provided to aided Dioceses for registration fees for General Convention</t>
  </si>
  <si>
    <t>Provides funding for registration for one bishop and 2 deputies to the aided dioceses</t>
  </si>
  <si>
    <t>Assumes 2 support staff; and PHOD position continues to receive directors fees with funding for pension and medical benefits</t>
  </si>
  <si>
    <t>Draft 10272021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</si>
</sst>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1" formatCode="_(* #,##0_);_(* \(#,##0\);_(* &quot;-&quot;_);_(@_)"/>
    <numFmt numFmtId="43" formatCode="_(* #,##0.00_);_(* \(#,##0.00\);_(* &quot;-&quot;??_);_(@_)"/>
    <numFmt numFmtId="164" formatCode="_([$€-2]* #,##0.00_);_([$€-2]* \(#,##0.00\);_([$€-2]* &quot;-&quot;??_)"/>
    <numFmt numFmtId="165" formatCode="0.0%"/>
    <numFmt numFmtId="166" formatCode="_(* #,##0_);_(* \(#,##0\);_(* &quot;-&quot;??_);_(@_)"/>
    <numFmt numFmtId="167" formatCode="#,##0.0"/>
    <numFmt numFmtId="168" formatCode="_(&quot;$&quot;* #,##0_);_(&quot;$&quot;* \(#,##0\);_(&quot;$&quot;* &quot;-&quot;??_);_(@_)"/>
  </numFmts>
  <fonts count="4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2"/>
      <color theme="10"/>
      <name val="Calibri"/>
      <family val="2"/>
      <scheme val="minor"/>
    </font>
    <font>
      <b/>
      <sz val="12"/>
      <name val="Calibri"/>
      <family val="2"/>
      <scheme val="minor"/>
    </font>
    <font>
      <sz val="12"/>
      <color theme="1"/>
      <name val="Calibri"/>
      <family val="2"/>
      <scheme val="minor"/>
    </font>
    <font>
      <b/>
      <u/>
      <sz val="14"/>
      <color theme="10"/>
      <name val="Calibri"/>
      <family val="2"/>
      <scheme val="minor"/>
    </font>
    <font>
      <b/>
      <sz val="12"/>
      <color theme="1"/>
      <name val="Calibri"/>
      <family val="2"/>
      <scheme val="minor"/>
    </font>
    <font>
      <b/>
      <sz val="12"/>
      <color indexed="8"/>
      <name val="Calibri"/>
      <family val="2"/>
      <scheme val="minor"/>
    </font>
    <font>
      <u/>
      <sz val="11"/>
      <color theme="1"/>
      <name val="Calibri"/>
      <family val="2"/>
      <scheme val="minor"/>
    </font>
    <font>
      <i/>
      <sz val="11"/>
      <color theme="1"/>
      <name val="Calibri"/>
      <family val="2"/>
      <scheme val="minor"/>
    </font>
    <font>
      <sz val="11"/>
      <color rgb="FF00B050"/>
      <name val="Calibri"/>
      <family val="2"/>
      <scheme val="minor"/>
    </font>
    <font>
      <b/>
      <u/>
      <sz val="12"/>
      <color theme="10"/>
      <name val="Calibri"/>
      <family val="2"/>
      <scheme val="minor"/>
    </font>
    <font>
      <strike/>
      <sz val="12"/>
      <color rgb="FFFF0000"/>
      <name val="Calibri"/>
      <family val="2"/>
      <scheme val="minor"/>
    </font>
    <font>
      <strike/>
      <sz val="12"/>
      <color theme="1"/>
      <name val="Calibri"/>
      <family val="2"/>
      <scheme val="minor"/>
    </font>
    <font>
      <sz val="12"/>
      <color rgb="FFFF0000"/>
      <name val="Calibri"/>
      <family val="2"/>
      <scheme val="minor"/>
    </font>
    <font>
      <sz val="11"/>
      <color theme="1"/>
      <name val="Times New Roman"/>
      <family val="1"/>
    </font>
    <font>
      <b/>
      <sz val="11"/>
      <color indexed="8"/>
      <name val="Calibri"/>
      <family val="2"/>
      <scheme val="minor"/>
    </font>
    <font>
      <sz val="11"/>
      <name val="Calibri"/>
      <family val="2"/>
      <scheme val="minor"/>
    </font>
    <font>
      <b/>
      <sz val="11"/>
      <name val="Calibri"/>
      <family val="2"/>
      <scheme val="minor"/>
    </font>
    <font>
      <strike/>
      <sz val="11"/>
      <color theme="1"/>
      <name val="Calibri"/>
      <family val="2"/>
      <scheme val="minor"/>
    </font>
    <font>
      <sz val="10"/>
      <name val="Arial"/>
      <family val="2"/>
    </font>
    <font>
      <sz val="11"/>
      <color rgb="FFFF0000"/>
      <name val="Calibri (Body)"/>
    </font>
    <font>
      <sz val="11"/>
      <color theme="1"/>
      <name val="Cambria"/>
      <family val="1"/>
    </font>
    <font>
      <sz val="11"/>
      <name val="Cambria"/>
      <family val="1"/>
    </font>
    <font>
      <sz val="11"/>
      <color rgb="FFFF0000"/>
      <name val="Cambria"/>
      <family val="1"/>
    </font>
    <font>
      <sz val="12"/>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sz val="14"/>
      <color theme="1"/>
      <name val="Calibri"/>
      <family val="2"/>
      <scheme val="minor"/>
    </font>
    <font>
      <sz val="11"/>
      <name val="Times New Roman"/>
      <family val="1"/>
    </font>
    <font>
      <sz val="10"/>
      <color theme="1"/>
      <name val="Calibri"/>
      <family val="2"/>
      <scheme val="minor"/>
    </font>
    <font>
      <i/>
      <sz val="12"/>
      <color theme="1"/>
      <name val="Calibri"/>
      <family val="2"/>
      <scheme val="minor"/>
    </font>
    <font>
      <b/>
      <sz val="11"/>
      <color theme="1"/>
      <name val="Times New Roman"/>
      <family val="1"/>
    </font>
    <font>
      <sz val="11"/>
      <color rgb="FF000000"/>
      <name val="Times New Roman"/>
      <family val="1"/>
    </font>
    <font>
      <sz val="11"/>
      <color indexed="8"/>
      <name val="Calibri"/>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59999389629810485"/>
        <bgColor indexed="64"/>
      </patternFill>
    </fill>
  </fills>
  <borders count="22">
    <border>
      <left/>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right/>
      <top style="thin">
        <color indexed="64"/>
      </top>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style="medium">
        <color auto="1"/>
      </top>
      <bottom style="thin">
        <color indexed="64"/>
      </bottom>
      <diagonal/>
    </border>
  </borders>
  <cellStyleXfs count="7">
    <xf numFmtId="164" fontId="0" fillId="0" borderId="0"/>
    <xf numFmtId="43" fontId="8" fillId="0" borderId="0" applyFont="0" applyFill="0" applyBorder="0" applyAlignment="0" applyProtection="0"/>
    <xf numFmtId="9" fontId="8" fillId="0" borderId="0" applyFont="0" applyFill="0" applyBorder="0" applyAlignment="0" applyProtection="0"/>
    <xf numFmtId="164" fontId="6" fillId="0" borderId="0" applyNumberFormat="0" applyFill="0" applyBorder="0" applyAlignment="0" applyProtection="0"/>
    <xf numFmtId="9" fontId="24" fillId="0" borderId="0" applyFont="0" applyFill="0" applyBorder="0" applyAlignment="0" applyProtection="0"/>
    <xf numFmtId="164" fontId="3" fillId="0" borderId="0"/>
    <xf numFmtId="9" fontId="39" fillId="0" borderId="0" applyFont="0" applyFill="0" applyBorder="0" applyAlignment="0" applyProtection="0"/>
  </cellStyleXfs>
  <cellXfs count="738">
    <xf numFmtId="164" fontId="0" fillId="0" borderId="0" xfId="0"/>
    <xf numFmtId="41" fontId="7" fillId="0" borderId="1" xfId="3" applyNumberFormat="1" applyFont="1" applyFill="1" applyBorder="1" applyAlignment="1" applyProtection="1">
      <alignment horizontal="left" vertical="top"/>
      <protection locked="0"/>
    </xf>
    <xf numFmtId="5" fontId="0" fillId="0" borderId="1" xfId="0" applyNumberFormat="1" applyBorder="1" applyAlignment="1">
      <alignment vertical="top" wrapText="1"/>
    </xf>
    <xf numFmtId="41" fontId="9" fillId="0" borderId="1" xfId="3" applyNumberFormat="1" applyFont="1" applyFill="1" applyBorder="1" applyAlignment="1" applyProtection="1">
      <alignment horizontal="center" vertical="top"/>
      <protection locked="0"/>
    </xf>
    <xf numFmtId="41" fontId="9" fillId="0" borderId="0" xfId="3" applyNumberFormat="1" applyFont="1" applyFill="1" applyBorder="1" applyAlignment="1" applyProtection="1">
      <alignment horizontal="center" vertical="top"/>
      <protection locked="0"/>
    </xf>
    <xf numFmtId="41" fontId="9" fillId="0" borderId="0" xfId="3" applyNumberFormat="1" applyFont="1" applyFill="1" applyBorder="1" applyAlignment="1" applyProtection="1">
      <alignment horizontal="center" vertical="top" wrapText="1"/>
      <protection locked="0"/>
    </xf>
    <xf numFmtId="41" fontId="9" fillId="2" borderId="0" xfId="3" applyNumberFormat="1" applyFont="1" applyFill="1" applyBorder="1" applyAlignment="1" applyProtection="1">
      <alignment horizontal="center" vertical="top" wrapText="1"/>
      <protection locked="0"/>
    </xf>
    <xf numFmtId="164" fontId="0" fillId="3" borderId="0" xfId="0" applyFill="1"/>
    <xf numFmtId="41" fontId="9" fillId="0" borderId="1" xfId="3" applyNumberFormat="1" applyFont="1" applyFill="1" applyBorder="1" applyAlignment="1" applyProtection="1">
      <alignment horizontal="center" vertical="top" wrapText="1"/>
      <protection locked="0"/>
    </xf>
    <xf numFmtId="5" fontId="0" fillId="0" borderId="0" xfId="0" applyNumberFormat="1" applyAlignment="1">
      <alignment vertical="top"/>
    </xf>
    <xf numFmtId="0" fontId="10" fillId="0" borderId="0" xfId="0" applyNumberFormat="1" applyFont="1" applyAlignment="1">
      <alignment horizontal="left" vertical="top"/>
    </xf>
    <xf numFmtId="5" fontId="0" fillId="0" borderId="0" xfId="0" applyNumberFormat="1" applyAlignment="1">
      <alignment vertical="top" wrapText="1"/>
    </xf>
    <xf numFmtId="0" fontId="5" fillId="0" borderId="0" xfId="0" applyNumberFormat="1" applyFont="1" applyAlignment="1" applyProtection="1">
      <alignment horizontal="left" vertical="top"/>
      <protection locked="0"/>
    </xf>
    <xf numFmtId="5" fontId="3" fillId="0" borderId="0" xfId="0" applyNumberFormat="1" applyFont="1" applyAlignment="1" applyProtection="1">
      <alignment vertical="top" wrapText="1"/>
      <protection locked="0"/>
    </xf>
    <xf numFmtId="5" fontId="3" fillId="0" borderId="0" xfId="0" applyNumberFormat="1" applyFont="1" applyAlignment="1" applyProtection="1">
      <alignment vertical="top"/>
      <protection locked="0"/>
    </xf>
    <xf numFmtId="165" fontId="3" fillId="0" borderId="0" xfId="2" applyNumberFormat="1" applyFont="1" applyBorder="1" applyAlignment="1" applyProtection="1">
      <alignment vertical="top"/>
      <protection locked="0"/>
    </xf>
    <xf numFmtId="165" fontId="3" fillId="0" borderId="0" xfId="2" applyNumberFormat="1" applyFont="1" applyBorder="1" applyAlignment="1" applyProtection="1">
      <alignment vertical="top" wrapText="1"/>
      <protection locked="0"/>
    </xf>
    <xf numFmtId="165" fontId="3" fillId="2" borderId="0" xfId="2" applyNumberFormat="1" applyFont="1" applyFill="1" applyBorder="1" applyAlignment="1" applyProtection="1">
      <alignment vertical="top"/>
      <protection locked="0"/>
    </xf>
    <xf numFmtId="41" fontId="3" fillId="0" borderId="0" xfId="2" applyNumberFormat="1" applyFont="1" applyBorder="1" applyAlignment="1" applyProtection="1">
      <alignment vertical="top"/>
      <protection locked="0"/>
    </xf>
    <xf numFmtId="0" fontId="10" fillId="6" borderId="2" xfId="0" applyNumberFormat="1" applyFont="1" applyFill="1" applyBorder="1" applyAlignment="1">
      <alignment horizontal="center" vertical="center" wrapText="1"/>
    </xf>
    <xf numFmtId="3" fontId="10" fillId="6" borderId="3" xfId="0" applyNumberFormat="1" applyFont="1" applyFill="1" applyBorder="1" applyAlignment="1">
      <alignment horizontal="center" vertical="center"/>
    </xf>
    <xf numFmtId="5" fontId="10" fillId="6" borderId="3" xfId="0" applyNumberFormat="1" applyFont="1" applyFill="1" applyBorder="1" applyAlignment="1" applyProtection="1">
      <alignment horizontal="center" vertical="center" wrapText="1"/>
      <protection locked="0"/>
    </xf>
    <xf numFmtId="5" fontId="10" fillId="6" borderId="2" xfId="0" applyNumberFormat="1" applyFont="1" applyFill="1" applyBorder="1" applyAlignment="1" applyProtection="1">
      <alignment horizontal="center" vertical="center" wrapText="1"/>
      <protection locked="0"/>
    </xf>
    <xf numFmtId="0" fontId="10" fillId="6" borderId="2" xfId="0" applyNumberFormat="1" applyFont="1" applyFill="1" applyBorder="1" applyAlignment="1" applyProtection="1">
      <alignment horizontal="center" vertical="center" wrapText="1"/>
      <protection locked="0"/>
    </xf>
    <xf numFmtId="0" fontId="5" fillId="6" borderId="4" xfId="0" applyNumberFormat="1" applyFont="1" applyFill="1" applyBorder="1" applyAlignment="1" applyProtection="1">
      <alignment horizontal="center"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2" borderId="4" xfId="0" applyNumberFormat="1" applyFont="1" applyFill="1" applyBorder="1" applyAlignment="1" applyProtection="1">
      <alignment horizontal="center" vertical="center" wrapText="1"/>
      <protection locked="0"/>
    </xf>
    <xf numFmtId="41" fontId="10" fillId="6" borderId="4" xfId="0" applyNumberFormat="1" applyFont="1" applyFill="1" applyBorder="1" applyAlignment="1" applyProtection="1">
      <alignment horizontal="center" vertical="center" wrapText="1"/>
      <protection locked="0"/>
    </xf>
    <xf numFmtId="0" fontId="10" fillId="7" borderId="4" xfId="0" applyNumberFormat="1" applyFont="1" applyFill="1" applyBorder="1" applyAlignment="1" applyProtection="1">
      <alignment horizontal="center" vertical="center" wrapText="1"/>
      <protection locked="0"/>
    </xf>
    <xf numFmtId="0" fontId="5" fillId="7" borderId="4" xfId="0" applyNumberFormat="1" applyFont="1" applyFill="1" applyBorder="1" applyAlignment="1" applyProtection="1">
      <alignment horizontal="center" vertical="center" wrapText="1"/>
      <protection locked="0"/>
    </xf>
    <xf numFmtId="0" fontId="11" fillId="7" borderId="4" xfId="0" applyNumberFormat="1" applyFont="1" applyFill="1" applyBorder="1" applyAlignment="1" applyProtection="1">
      <alignment horizontal="center" vertical="center" wrapText="1"/>
      <protection locked="0"/>
    </xf>
    <xf numFmtId="3" fontId="0" fillId="0" borderId="0" xfId="0" applyNumberFormat="1" applyAlignment="1">
      <alignment horizontal="center" vertical="center"/>
    </xf>
    <xf numFmtId="0" fontId="3" fillId="0" borderId="0" xfId="0" applyNumberFormat="1" applyFont="1" applyAlignment="1" applyProtection="1">
      <alignment horizontal="center" vertical="top"/>
      <protection locked="0"/>
    </xf>
    <xf numFmtId="165" fontId="3" fillId="0" borderId="0" xfId="2" applyNumberFormat="1" applyFont="1" applyFill="1" applyBorder="1" applyAlignment="1" applyProtection="1">
      <alignment vertical="top"/>
      <protection locked="0"/>
    </xf>
    <xf numFmtId="165" fontId="3" fillId="0" borderId="0" xfId="2" applyNumberFormat="1" applyFont="1" applyFill="1" applyBorder="1" applyAlignment="1" applyProtection="1">
      <alignment vertical="top" wrapText="1"/>
      <protection locked="0"/>
    </xf>
    <xf numFmtId="165" fontId="3" fillId="6" borderId="0" xfId="2" applyNumberFormat="1" applyFont="1" applyFill="1" applyBorder="1" applyAlignment="1" applyProtection="1">
      <alignment vertical="top"/>
      <protection locked="0"/>
    </xf>
    <xf numFmtId="165" fontId="3" fillId="6" borderId="0" xfId="2" applyNumberFormat="1" applyFont="1" applyFill="1" applyBorder="1" applyAlignment="1" applyProtection="1">
      <alignment vertical="top" wrapText="1"/>
      <protection locked="0"/>
    </xf>
    <xf numFmtId="41" fontId="3" fillId="6" borderId="0" xfId="2" applyNumberFormat="1" applyFont="1" applyFill="1" applyBorder="1" applyAlignment="1" applyProtection="1">
      <alignment vertical="top"/>
      <protection locked="0"/>
    </xf>
    <xf numFmtId="5" fontId="3" fillId="7" borderId="0" xfId="0" applyNumberFormat="1" applyFont="1" applyFill="1" applyAlignment="1" applyProtection="1">
      <alignment vertical="top"/>
      <protection locked="0"/>
    </xf>
    <xf numFmtId="5" fontId="5" fillId="0" borderId="0" xfId="0" applyNumberFormat="1" applyFont="1" applyAlignment="1" applyProtection="1">
      <alignment vertical="top" wrapText="1"/>
      <protection locked="0"/>
    </xf>
    <xf numFmtId="165" fontId="3" fillId="2" borderId="0" xfId="2" applyNumberFormat="1" applyFont="1" applyFill="1" applyBorder="1" applyAlignment="1" applyProtection="1">
      <alignment vertical="top" wrapText="1"/>
      <protection locked="0"/>
    </xf>
    <xf numFmtId="5" fontId="3" fillId="6" borderId="0" xfId="0" applyNumberFormat="1" applyFont="1" applyFill="1" applyAlignment="1" applyProtection="1">
      <alignment vertical="top"/>
      <protection locked="0"/>
    </xf>
    <xf numFmtId="41" fontId="3" fillId="6" borderId="0" xfId="2" applyNumberFormat="1" applyFont="1" applyFill="1" applyBorder="1" applyAlignment="1" applyProtection="1">
      <alignment vertical="top" wrapText="1"/>
      <protection locked="0"/>
    </xf>
    <xf numFmtId="5" fontId="3" fillId="2" borderId="0" xfId="0" applyNumberFormat="1" applyFont="1" applyFill="1" applyAlignment="1" applyProtection="1">
      <alignment vertical="top"/>
      <protection locked="0"/>
    </xf>
    <xf numFmtId="41" fontId="3" fillId="6" borderId="0" xfId="0" applyNumberFormat="1" applyFont="1" applyFill="1" applyAlignment="1" applyProtection="1">
      <alignment vertical="top"/>
      <protection locked="0"/>
    </xf>
    <xf numFmtId="9" fontId="3" fillId="6" borderId="0" xfId="0" applyNumberFormat="1" applyFont="1" applyFill="1" applyAlignment="1" applyProtection="1">
      <alignment horizontal="left" vertical="top" wrapText="1"/>
      <protection locked="0"/>
    </xf>
    <xf numFmtId="41" fontId="3" fillId="2" borderId="0" xfId="0" applyNumberFormat="1" applyFont="1" applyFill="1" applyAlignment="1" applyProtection="1">
      <alignment vertical="top"/>
      <protection locked="0"/>
    </xf>
    <xf numFmtId="5" fontId="3" fillId="7" borderId="0" xfId="0" quotePrefix="1" applyNumberFormat="1" applyFont="1" applyFill="1" applyAlignment="1" applyProtection="1">
      <alignment horizontal="center" vertical="top" wrapText="1"/>
      <protection locked="0"/>
    </xf>
    <xf numFmtId="5" fontId="3" fillId="7" borderId="0" xfId="0" applyNumberFormat="1" applyFont="1" applyFill="1" applyAlignment="1" applyProtection="1">
      <alignment horizontal="center" vertical="top" wrapText="1"/>
      <protection locked="0"/>
    </xf>
    <xf numFmtId="41" fontId="3" fillId="0" borderId="0" xfId="0" applyNumberFormat="1" applyFont="1" applyAlignment="1" applyProtection="1">
      <alignment vertical="top"/>
      <protection locked="0"/>
    </xf>
    <xf numFmtId="41" fontId="3" fillId="0" borderId="0" xfId="0" applyNumberFormat="1" applyFont="1" applyAlignment="1" applyProtection="1">
      <alignment vertical="top" wrapText="1"/>
      <protection locked="0"/>
    </xf>
    <xf numFmtId="5" fontId="0" fillId="6" borderId="0" xfId="0" applyNumberFormat="1" applyFill="1" applyAlignment="1">
      <alignment vertical="top" wrapText="1"/>
    </xf>
    <xf numFmtId="41" fontId="3" fillId="7" borderId="0" xfId="0" applyNumberFormat="1" applyFont="1" applyFill="1" applyAlignment="1" applyProtection="1">
      <alignment horizontal="center" vertical="top"/>
      <protection locked="0"/>
    </xf>
    <xf numFmtId="41" fontId="3" fillId="7" borderId="0" xfId="0" applyNumberFormat="1" applyFont="1" applyFill="1" applyAlignment="1" applyProtection="1">
      <alignment vertical="top"/>
      <protection locked="0"/>
    </xf>
    <xf numFmtId="5" fontId="3" fillId="7" borderId="0" xfId="0" applyNumberFormat="1" applyFont="1" applyFill="1" applyAlignment="1" applyProtection="1">
      <alignment vertical="top" wrapText="1"/>
      <protection locked="0"/>
    </xf>
    <xf numFmtId="166" fontId="3" fillId="0" borderId="0" xfId="0" applyNumberFormat="1" applyFont="1" applyAlignment="1" applyProtection="1">
      <alignment vertical="top"/>
      <protection locked="0"/>
    </xf>
    <xf numFmtId="166" fontId="3" fillId="0" borderId="0" xfId="0" applyNumberFormat="1" applyFont="1" applyAlignment="1" applyProtection="1">
      <alignment vertical="top" wrapText="1"/>
      <protection locked="0"/>
    </xf>
    <xf numFmtId="43" fontId="3" fillId="0" borderId="0" xfId="0" applyNumberFormat="1" applyFont="1" applyAlignment="1" applyProtection="1">
      <alignment vertical="top"/>
      <protection locked="0"/>
    </xf>
    <xf numFmtId="43" fontId="3" fillId="0" borderId="0" xfId="0" applyNumberFormat="1" applyFont="1" applyAlignment="1" applyProtection="1">
      <alignment vertical="top" wrapText="1"/>
      <protection locked="0"/>
    </xf>
    <xf numFmtId="41" fontId="3" fillId="6" borderId="0" xfId="0" applyNumberFormat="1" applyFont="1" applyFill="1" applyAlignment="1" applyProtection="1">
      <alignment vertical="top" wrapText="1"/>
      <protection locked="0"/>
    </xf>
    <xf numFmtId="165" fontId="3" fillId="0" borderId="0" xfId="2" applyNumberFormat="1" applyFont="1" applyAlignment="1" applyProtection="1">
      <alignment vertical="top"/>
      <protection locked="0"/>
    </xf>
    <xf numFmtId="5" fontId="3" fillId="0" borderId="0" xfId="0" applyNumberFormat="1" applyFont="1" applyAlignment="1" applyProtection="1">
      <alignment horizontal="left" vertical="top" wrapText="1" indent="2"/>
      <protection locked="0"/>
    </xf>
    <xf numFmtId="165" fontId="3" fillId="7" borderId="0" xfId="2" applyNumberFormat="1" applyFont="1" applyFill="1" applyBorder="1" applyAlignment="1" applyProtection="1">
      <alignment vertical="top" wrapText="1"/>
      <protection locked="0"/>
    </xf>
    <xf numFmtId="41" fontId="3" fillId="6" borderId="5" xfId="0" applyNumberFormat="1" applyFont="1" applyFill="1" applyBorder="1" applyAlignment="1" applyProtection="1">
      <alignment vertical="top"/>
      <protection locked="0"/>
    </xf>
    <xf numFmtId="41" fontId="3" fillId="0" borderId="6" xfId="0" applyNumberFormat="1" applyFont="1" applyBorder="1" applyAlignment="1" applyProtection="1">
      <alignment vertical="top"/>
      <protection locked="0"/>
    </xf>
    <xf numFmtId="41" fontId="3" fillId="0" borderId="6" xfId="0" applyNumberFormat="1" applyFont="1" applyBorder="1" applyAlignment="1" applyProtection="1">
      <alignment vertical="top" wrapText="1"/>
      <protection locked="0"/>
    </xf>
    <xf numFmtId="41" fontId="3" fillId="2" borderId="6" xfId="0" applyNumberFormat="1" applyFont="1" applyFill="1" applyBorder="1" applyAlignment="1" applyProtection="1">
      <alignment vertical="top"/>
      <protection locked="0"/>
    </xf>
    <xf numFmtId="41" fontId="3" fillId="6" borderId="6" xfId="0" applyNumberFormat="1" applyFont="1" applyFill="1" applyBorder="1" applyAlignment="1" applyProtection="1">
      <alignment vertical="top"/>
      <protection locked="0"/>
    </xf>
    <xf numFmtId="165" fontId="3" fillId="6" borderId="6" xfId="2" applyNumberFormat="1" applyFont="1" applyFill="1" applyBorder="1" applyAlignment="1" applyProtection="1">
      <alignment vertical="top" wrapText="1"/>
      <protection locked="0"/>
    </xf>
    <xf numFmtId="41" fontId="0" fillId="0" borderId="0" xfId="0" applyNumberFormat="1" applyAlignment="1">
      <alignment vertical="top"/>
    </xf>
    <xf numFmtId="0" fontId="5" fillId="0" borderId="7" xfId="0" applyNumberFormat="1" applyFont="1" applyBorder="1" applyAlignment="1" applyProtection="1">
      <alignment horizontal="center" vertical="top"/>
      <protection locked="0"/>
    </xf>
    <xf numFmtId="5" fontId="5" fillId="0" borderId="7" xfId="0" applyNumberFormat="1" applyFont="1" applyBorder="1" applyAlignment="1" applyProtection="1">
      <alignment vertical="top" wrapText="1"/>
      <protection locked="0"/>
    </xf>
    <xf numFmtId="41" fontId="5" fillId="0" borderId="7" xfId="0" applyNumberFormat="1" applyFont="1" applyBorder="1" applyAlignment="1" applyProtection="1">
      <alignment vertical="top"/>
      <protection locked="0"/>
    </xf>
    <xf numFmtId="41" fontId="5" fillId="2" borderId="7" xfId="0" applyNumberFormat="1" applyFont="1" applyFill="1" applyBorder="1" applyAlignment="1" applyProtection="1">
      <alignment vertical="top"/>
      <protection locked="0"/>
    </xf>
    <xf numFmtId="41" fontId="5" fillId="6" borderId="7" xfId="0" applyNumberFormat="1" applyFont="1" applyFill="1" applyBorder="1" applyAlignment="1" applyProtection="1">
      <alignment vertical="top"/>
      <protection locked="0"/>
    </xf>
    <xf numFmtId="165" fontId="5" fillId="6" borderId="7" xfId="2" applyNumberFormat="1" applyFont="1" applyFill="1" applyBorder="1" applyAlignment="1" applyProtection="1">
      <alignment vertical="top" wrapText="1"/>
      <protection locked="0"/>
    </xf>
    <xf numFmtId="41" fontId="5" fillId="7" borderId="7" xfId="0" applyNumberFormat="1" applyFont="1" applyFill="1" applyBorder="1" applyAlignment="1" applyProtection="1">
      <alignment vertical="top"/>
      <protection locked="0"/>
    </xf>
    <xf numFmtId="5" fontId="5" fillId="7" borderId="7" xfId="0" applyNumberFormat="1" applyFont="1" applyFill="1" applyBorder="1" applyAlignment="1" applyProtection="1">
      <alignment vertical="top"/>
      <protection locked="0"/>
    </xf>
    <xf numFmtId="5" fontId="5" fillId="0" borderId="0" xfId="0" applyNumberFormat="1" applyFont="1" applyAlignment="1" applyProtection="1">
      <alignment vertical="top"/>
      <protection locked="0"/>
    </xf>
    <xf numFmtId="9" fontId="3" fillId="0" borderId="0" xfId="2" applyFont="1" applyFill="1" applyBorder="1" applyAlignment="1" applyProtection="1">
      <alignment vertical="top" wrapText="1"/>
      <protection locked="0"/>
    </xf>
    <xf numFmtId="0" fontId="3" fillId="0" borderId="8" xfId="0" applyNumberFormat="1" applyFont="1" applyBorder="1" applyAlignment="1" applyProtection="1">
      <alignment horizontal="center" vertical="top"/>
      <protection locked="0"/>
    </xf>
    <xf numFmtId="5" fontId="3" fillId="0" borderId="8" xfId="0" applyNumberFormat="1" applyFont="1" applyBorder="1" applyAlignment="1" applyProtection="1">
      <alignment vertical="top" wrapText="1"/>
      <protection locked="0"/>
    </xf>
    <xf numFmtId="5" fontId="3" fillId="0" borderId="8" xfId="0" applyNumberFormat="1" applyFont="1" applyBorder="1" applyAlignment="1" applyProtection="1">
      <alignment vertical="top"/>
      <protection locked="0"/>
    </xf>
    <xf numFmtId="165" fontId="3" fillId="0" borderId="8" xfId="2" applyNumberFormat="1" applyFont="1" applyFill="1" applyBorder="1" applyAlignment="1" applyProtection="1">
      <alignment vertical="top"/>
      <protection locked="0"/>
    </xf>
    <xf numFmtId="9" fontId="3" fillId="0" borderId="8" xfId="2" applyFont="1" applyFill="1" applyBorder="1" applyAlignment="1" applyProtection="1">
      <alignment vertical="top" wrapText="1"/>
      <protection locked="0"/>
    </xf>
    <xf numFmtId="165" fontId="3" fillId="2" borderId="8" xfId="2" applyNumberFormat="1" applyFont="1" applyFill="1" applyBorder="1" applyAlignment="1" applyProtection="1">
      <alignment vertical="top"/>
      <protection locked="0"/>
    </xf>
    <xf numFmtId="165" fontId="3" fillId="6" borderId="8" xfId="2" applyNumberFormat="1" applyFont="1" applyFill="1" applyBorder="1" applyAlignment="1" applyProtection="1">
      <alignment vertical="top"/>
      <protection locked="0"/>
    </xf>
    <xf numFmtId="41" fontId="3" fillId="6" borderId="8" xfId="2" applyNumberFormat="1" applyFont="1" applyFill="1" applyBorder="1" applyAlignment="1" applyProtection="1">
      <alignment vertical="top"/>
      <protection locked="0"/>
    </xf>
    <xf numFmtId="165" fontId="3" fillId="7" borderId="8" xfId="2" applyNumberFormat="1" applyFont="1" applyFill="1" applyBorder="1" applyAlignment="1" applyProtection="1">
      <alignment vertical="top" wrapText="1"/>
      <protection locked="0"/>
    </xf>
    <xf numFmtId="0" fontId="5" fillId="3" borderId="2" xfId="0" applyNumberFormat="1" applyFont="1" applyFill="1" applyBorder="1" applyAlignment="1">
      <alignment horizontal="center" vertical="center" wrapText="1"/>
    </xf>
    <xf numFmtId="5" fontId="5" fillId="3" borderId="3" xfId="0" applyNumberFormat="1" applyFont="1" applyFill="1" applyBorder="1" applyAlignment="1" applyProtection="1">
      <alignment horizontal="center" vertical="center" wrapText="1"/>
      <protection locked="0"/>
    </xf>
    <xf numFmtId="5" fontId="5" fillId="3" borderId="2" xfId="0" applyNumberFormat="1" applyFont="1" applyFill="1" applyBorder="1" applyAlignment="1" applyProtection="1">
      <alignment horizontal="center" vertical="center" wrapText="1"/>
      <protection locked="0"/>
    </xf>
    <xf numFmtId="0" fontId="10" fillId="8" borderId="9"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9" fontId="10" fillId="3" borderId="2" xfId="2" applyFont="1" applyFill="1" applyBorder="1" applyAlignment="1" applyProtection="1">
      <alignment horizontal="center" vertical="center" wrapText="1"/>
      <protection locked="0"/>
    </xf>
    <xf numFmtId="0" fontId="10" fillId="0" borderId="2" xfId="0" applyNumberFormat="1" applyFont="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41" fontId="10" fillId="6" borderId="2" xfId="0" applyNumberFormat="1" applyFont="1" applyFill="1" applyBorder="1" applyAlignment="1" applyProtection="1">
      <alignment horizontal="center" vertical="center" wrapText="1"/>
      <protection locked="0"/>
    </xf>
    <xf numFmtId="0" fontId="10" fillId="7" borderId="2" xfId="0" applyNumberFormat="1" applyFont="1" applyFill="1" applyBorder="1" applyAlignment="1" applyProtection="1">
      <alignment horizontal="center" vertical="center" wrapText="1"/>
      <protection locked="0"/>
    </xf>
    <xf numFmtId="5" fontId="3" fillId="7" borderId="0" xfId="0" applyNumberFormat="1" applyFont="1" applyFill="1" applyAlignment="1" applyProtection="1">
      <alignment horizontal="center" vertical="center"/>
      <protection locked="0"/>
    </xf>
    <xf numFmtId="5" fontId="3" fillId="0" borderId="0" xfId="0" applyNumberFormat="1" applyFont="1" applyAlignment="1" applyProtection="1">
      <alignment horizontal="center" vertical="center"/>
      <protection locked="0"/>
    </xf>
    <xf numFmtId="5" fontId="12" fillId="0" borderId="0" xfId="0" applyNumberFormat="1" applyFont="1" applyAlignment="1" applyProtection="1">
      <alignment horizontal="center" vertical="top"/>
      <protection locked="0"/>
    </xf>
    <xf numFmtId="165" fontId="12" fillId="0" borderId="0" xfId="2" applyNumberFormat="1" applyFont="1" applyFill="1" applyBorder="1" applyAlignment="1" applyProtection="1">
      <alignment horizontal="center" vertical="top"/>
      <protection locked="0"/>
    </xf>
    <xf numFmtId="9" fontId="12" fillId="0" borderId="0" xfId="2" applyFont="1" applyFill="1" applyBorder="1" applyAlignment="1" applyProtection="1">
      <alignment horizontal="center" vertical="top" wrapText="1"/>
      <protection locked="0"/>
    </xf>
    <xf numFmtId="165" fontId="12" fillId="2" borderId="0" xfId="2" applyNumberFormat="1" applyFont="1" applyFill="1" applyBorder="1" applyAlignment="1" applyProtection="1">
      <alignment horizontal="center" vertical="top"/>
      <protection locked="0"/>
    </xf>
    <xf numFmtId="165" fontId="12" fillId="6" borderId="0" xfId="2" applyNumberFormat="1" applyFont="1" applyFill="1" applyBorder="1" applyAlignment="1" applyProtection="1">
      <alignment horizontal="center" vertical="top"/>
      <protection locked="0"/>
    </xf>
    <xf numFmtId="41" fontId="12" fillId="6" borderId="0" xfId="2" applyNumberFormat="1" applyFont="1" applyFill="1" applyBorder="1" applyAlignment="1" applyProtection="1">
      <alignment horizontal="center" vertical="top"/>
      <protection locked="0"/>
    </xf>
    <xf numFmtId="165" fontId="12" fillId="7" borderId="0" xfId="2" applyNumberFormat="1" applyFont="1" applyFill="1" applyBorder="1" applyAlignment="1" applyProtection="1">
      <alignment horizontal="center" vertical="top" wrapText="1"/>
      <protection locked="0"/>
    </xf>
    <xf numFmtId="41" fontId="3" fillId="7" borderId="0" xfId="2" applyNumberFormat="1" applyFont="1" applyFill="1" applyBorder="1" applyAlignment="1" applyProtection="1">
      <alignment vertical="top" wrapText="1"/>
      <protection locked="0"/>
    </xf>
    <xf numFmtId="41" fontId="3" fillId="7" borderId="0" xfId="0" applyNumberFormat="1" applyFont="1" applyFill="1" applyAlignment="1" applyProtection="1">
      <alignment vertical="top" wrapText="1"/>
      <protection locked="0"/>
    </xf>
    <xf numFmtId="41" fontId="3" fillId="7" borderId="0" xfId="2" applyNumberFormat="1" applyFont="1" applyFill="1" applyAlignment="1" applyProtection="1">
      <alignment vertical="top" wrapText="1"/>
      <protection locked="0"/>
    </xf>
    <xf numFmtId="41" fontId="13" fillId="0" borderId="0" xfId="0" applyNumberFormat="1" applyFont="1" applyAlignment="1" applyProtection="1">
      <alignment vertical="top"/>
      <protection locked="0"/>
    </xf>
    <xf numFmtId="0" fontId="5" fillId="0" borderId="10" xfId="0" applyNumberFormat="1" applyFont="1" applyBorder="1" applyAlignment="1" applyProtection="1">
      <alignment horizontal="center" vertical="top"/>
      <protection locked="0"/>
    </xf>
    <xf numFmtId="5" fontId="5" fillId="0" borderId="10" xfId="0" applyNumberFormat="1" applyFont="1" applyBorder="1" applyAlignment="1" applyProtection="1">
      <alignment vertical="top" wrapText="1"/>
      <protection locked="0"/>
    </xf>
    <xf numFmtId="41" fontId="5" fillId="0" borderId="10" xfId="0" applyNumberFormat="1" applyFont="1" applyBorder="1" applyAlignment="1" applyProtection="1">
      <alignment vertical="top"/>
      <protection locked="0"/>
    </xf>
    <xf numFmtId="41" fontId="5" fillId="0" borderId="10" xfId="0" applyNumberFormat="1" applyFont="1" applyBorder="1" applyAlignment="1" applyProtection="1">
      <alignment vertical="top" wrapText="1"/>
      <protection locked="0"/>
    </xf>
    <xf numFmtId="41" fontId="5" fillId="2" borderId="10" xfId="0" applyNumberFormat="1" applyFont="1" applyFill="1" applyBorder="1" applyAlignment="1" applyProtection="1">
      <alignment vertical="top"/>
      <protection locked="0"/>
    </xf>
    <xf numFmtId="41" fontId="5" fillId="6" borderId="10" xfId="0" applyNumberFormat="1" applyFont="1" applyFill="1" applyBorder="1" applyAlignment="1" applyProtection="1">
      <alignment vertical="top"/>
      <protection locked="0"/>
    </xf>
    <xf numFmtId="165" fontId="5" fillId="6" borderId="10" xfId="2" applyNumberFormat="1" applyFont="1" applyFill="1" applyBorder="1" applyAlignment="1" applyProtection="1">
      <alignment vertical="top" wrapText="1"/>
      <protection locked="0"/>
    </xf>
    <xf numFmtId="41" fontId="5" fillId="7" borderId="10" xfId="0" applyNumberFormat="1" applyFont="1" applyFill="1" applyBorder="1" applyAlignment="1" applyProtection="1">
      <alignment vertical="top"/>
      <protection locked="0"/>
    </xf>
    <xf numFmtId="5" fontId="5" fillId="7" borderId="10" xfId="0" applyNumberFormat="1" applyFont="1" applyFill="1" applyBorder="1" applyAlignment="1" applyProtection="1">
      <alignment vertical="top"/>
      <protection locked="0"/>
    </xf>
    <xf numFmtId="166" fontId="3" fillId="7" borderId="0" xfId="1" applyNumberFormat="1" applyFont="1" applyFill="1" applyBorder="1" applyAlignment="1" applyProtection="1">
      <alignment vertical="top"/>
      <protection locked="0"/>
    </xf>
    <xf numFmtId="5" fontId="3" fillId="7" borderId="6" xfId="0" applyNumberFormat="1" applyFont="1" applyFill="1" applyBorder="1" applyAlignment="1" applyProtection="1">
      <alignment vertical="top"/>
      <protection locked="0"/>
    </xf>
    <xf numFmtId="41" fontId="5" fillId="0" borderId="7" xfId="0" applyNumberFormat="1" applyFont="1" applyBorder="1" applyAlignment="1" applyProtection="1">
      <alignment vertical="top" wrapText="1"/>
      <protection locked="0"/>
    </xf>
    <xf numFmtId="166" fontId="5" fillId="7" borderId="7" xfId="1" applyNumberFormat="1" applyFont="1" applyFill="1" applyBorder="1" applyAlignment="1" applyProtection="1">
      <alignment vertical="top"/>
      <protection locked="0"/>
    </xf>
    <xf numFmtId="5" fontId="12" fillId="0" borderId="0" xfId="0" applyNumberFormat="1" applyFont="1" applyAlignment="1" applyProtection="1">
      <alignment vertical="top" wrapText="1"/>
      <protection locked="0"/>
    </xf>
    <xf numFmtId="166" fontId="14" fillId="0" borderId="0" xfId="1" applyNumberFormat="1" applyFont="1" applyFill="1" applyBorder="1" applyAlignment="1" applyProtection="1">
      <alignment vertical="top"/>
      <protection locked="0"/>
    </xf>
    <xf numFmtId="164" fontId="3" fillId="0" borderId="0" xfId="0" applyFont="1" applyAlignment="1">
      <alignment wrapText="1"/>
    </xf>
    <xf numFmtId="165" fontId="3" fillId="0" borderId="0" xfId="2" applyNumberFormat="1" applyFont="1" applyFill="1" applyAlignment="1" applyProtection="1">
      <alignment vertical="top"/>
      <protection locked="0"/>
    </xf>
    <xf numFmtId="165" fontId="3" fillId="0" borderId="0" xfId="2" applyNumberFormat="1" applyFont="1" applyFill="1" applyAlignment="1" applyProtection="1">
      <alignment vertical="top" wrapText="1"/>
      <protection locked="0"/>
    </xf>
    <xf numFmtId="165" fontId="3" fillId="2" borderId="0" xfId="2" applyNumberFormat="1" applyFont="1" applyFill="1" applyAlignment="1" applyProtection="1">
      <alignment vertical="top"/>
      <protection locked="0"/>
    </xf>
    <xf numFmtId="41" fontId="3" fillId="0" borderId="0" xfId="2" applyNumberFormat="1" applyFont="1" applyFill="1" applyAlignment="1" applyProtection="1">
      <alignment vertical="top"/>
      <protection locked="0"/>
    </xf>
    <xf numFmtId="43" fontId="3" fillId="0" borderId="0" xfId="1" applyFont="1" applyFill="1" applyAlignment="1" applyProtection="1">
      <alignment vertical="top"/>
      <protection locked="0"/>
    </xf>
    <xf numFmtId="165" fontId="3" fillId="0" borderId="0" xfId="2" applyNumberFormat="1" applyFont="1" applyAlignment="1" applyProtection="1">
      <alignment vertical="top" wrapText="1"/>
      <protection locked="0"/>
    </xf>
    <xf numFmtId="41" fontId="3" fillId="0" borderId="0" xfId="2" applyNumberFormat="1" applyFont="1" applyAlignment="1" applyProtection="1">
      <alignment vertical="top"/>
      <protection locked="0"/>
    </xf>
    <xf numFmtId="5" fontId="8" fillId="0" borderId="0" xfId="0" applyNumberFormat="1" applyFont="1" applyAlignment="1">
      <alignment vertical="top" wrapText="1"/>
    </xf>
    <xf numFmtId="41" fontId="15" fillId="0" borderId="1" xfId="3" applyNumberFormat="1" applyFont="1" applyFill="1" applyBorder="1" applyAlignment="1" applyProtection="1">
      <alignment horizontal="center" vertical="top"/>
      <protection locked="0"/>
    </xf>
    <xf numFmtId="41" fontId="8" fillId="0" borderId="0" xfId="0" applyNumberFormat="1" applyFont="1" applyAlignment="1" applyProtection="1">
      <alignment vertical="top"/>
      <protection locked="0"/>
    </xf>
    <xf numFmtId="41" fontId="8" fillId="0" borderId="0" xfId="0" applyNumberFormat="1" applyFont="1" applyAlignment="1" applyProtection="1">
      <alignment vertical="top" wrapText="1"/>
      <protection locked="0"/>
    </xf>
    <xf numFmtId="41" fontId="15" fillId="2" borderId="1" xfId="3" applyNumberFormat="1" applyFont="1" applyFill="1" applyBorder="1" applyAlignment="1" applyProtection="1">
      <alignment horizontal="center" vertical="top"/>
      <protection locked="0"/>
    </xf>
    <xf numFmtId="41" fontId="15" fillId="2" borderId="0" xfId="3" applyNumberFormat="1" applyFont="1" applyFill="1" applyBorder="1" applyAlignment="1" applyProtection="1">
      <alignment horizontal="center" vertical="top"/>
      <protection locked="0"/>
    </xf>
    <xf numFmtId="5" fontId="8" fillId="0" borderId="0" xfId="0" applyNumberFormat="1" applyFont="1" applyAlignment="1">
      <alignment vertical="top"/>
    </xf>
    <xf numFmtId="5" fontId="8" fillId="3" borderId="0" xfId="0" applyNumberFormat="1" applyFont="1" applyFill="1" applyAlignment="1">
      <alignment vertical="top"/>
    </xf>
    <xf numFmtId="5" fontId="8" fillId="2" borderId="0" xfId="0" applyNumberFormat="1" applyFont="1" applyFill="1" applyAlignment="1">
      <alignment vertical="top"/>
    </xf>
    <xf numFmtId="41" fontId="15" fillId="0" borderId="0" xfId="3" applyNumberFormat="1" applyFont="1" applyFill="1" applyBorder="1" applyAlignment="1" applyProtection="1">
      <alignment horizontal="center" vertical="top"/>
      <protection locked="0"/>
    </xf>
    <xf numFmtId="5" fontId="8" fillId="4" borderId="0" xfId="0" applyNumberFormat="1" applyFont="1" applyFill="1" applyAlignment="1">
      <alignment vertical="top"/>
    </xf>
    <xf numFmtId="41" fontId="8" fillId="0" borderId="0" xfId="0" applyNumberFormat="1" applyFont="1" applyAlignment="1">
      <alignment vertical="top"/>
    </xf>
    <xf numFmtId="41" fontId="8" fillId="0" borderId="0" xfId="0" applyNumberFormat="1" applyFont="1" applyAlignment="1">
      <alignment vertical="top" wrapText="1"/>
    </xf>
    <xf numFmtId="41" fontId="8" fillId="2" borderId="0" xfId="0" applyNumberFormat="1" applyFont="1" applyFill="1" applyAlignment="1">
      <alignment vertical="top"/>
    </xf>
    <xf numFmtId="5" fontId="8" fillId="5" borderId="0" xfId="0" applyNumberFormat="1" applyFont="1" applyFill="1" applyAlignment="1">
      <alignment vertical="top"/>
    </xf>
    <xf numFmtId="3" fontId="0" fillId="0" borderId="0" xfId="0" applyNumberFormat="1" applyAlignment="1">
      <alignment vertical="top" wrapText="1"/>
    </xf>
    <xf numFmtId="41" fontId="10" fillId="0" borderId="0" xfId="0" applyNumberFormat="1" applyFont="1" applyAlignment="1">
      <alignment horizontal="center" vertical="top"/>
    </xf>
    <xf numFmtId="41" fontId="10" fillId="0" borderId="0" xfId="0" applyNumberFormat="1" applyFont="1" applyAlignment="1">
      <alignment horizontal="center" vertical="top" wrapText="1"/>
    </xf>
    <xf numFmtId="41" fontId="10" fillId="2" borderId="0" xfId="0" applyNumberFormat="1" applyFont="1" applyFill="1" applyAlignment="1">
      <alignment horizontal="center" vertical="top"/>
    </xf>
    <xf numFmtId="3" fontId="0" fillId="0" borderId="0" xfId="0" applyNumberFormat="1" applyAlignment="1">
      <alignment vertical="top"/>
    </xf>
    <xf numFmtId="0" fontId="10" fillId="6" borderId="2" xfId="0" applyNumberFormat="1" applyFont="1" applyFill="1" applyBorder="1" applyAlignment="1" applyProtection="1">
      <alignment horizontal="center" vertical="top" wrapText="1"/>
      <protection locked="0"/>
    </xf>
    <xf numFmtId="0" fontId="10" fillId="8" borderId="4" xfId="0" applyNumberFormat="1" applyFont="1" applyFill="1" applyBorder="1" applyAlignment="1" applyProtection="1">
      <alignment horizontal="center" vertical="center" wrapText="1"/>
      <protection locked="0"/>
    </xf>
    <xf numFmtId="0" fontId="10" fillId="2" borderId="0" xfId="0" applyNumberFormat="1" applyFont="1" applyFill="1" applyAlignment="1" applyProtection="1">
      <alignment horizontal="center" vertical="center" wrapText="1"/>
      <protection locked="0"/>
    </xf>
    <xf numFmtId="0" fontId="10" fillId="7" borderId="11" xfId="0" applyNumberFormat="1" applyFont="1" applyFill="1" applyBorder="1" applyAlignment="1" applyProtection="1">
      <alignment horizontal="center" vertical="center" wrapText="1"/>
      <protection locked="0"/>
    </xf>
    <xf numFmtId="0" fontId="11" fillId="7" borderId="11" xfId="0" applyNumberFormat="1" applyFont="1" applyFill="1" applyBorder="1" applyAlignment="1" applyProtection="1">
      <alignment horizontal="center" vertical="center" wrapText="1"/>
      <protection locked="0"/>
    </xf>
    <xf numFmtId="3" fontId="0" fillId="0" borderId="0" xfId="0" applyNumberFormat="1" applyAlignment="1">
      <alignment vertical="center"/>
    </xf>
    <xf numFmtId="0" fontId="0" fillId="0" borderId="0" xfId="0" applyNumberFormat="1" applyAlignment="1">
      <alignment horizontal="center" vertical="top"/>
    </xf>
    <xf numFmtId="41" fontId="0" fillId="0" borderId="0" xfId="0" applyNumberFormat="1" applyAlignment="1" applyProtection="1">
      <alignment vertical="top"/>
      <protection locked="0"/>
    </xf>
    <xf numFmtId="41" fontId="0" fillId="0" borderId="0" xfId="0" applyNumberFormat="1" applyAlignment="1" applyProtection="1">
      <alignment vertical="top" wrapText="1"/>
      <protection locked="0"/>
    </xf>
    <xf numFmtId="41" fontId="0" fillId="2" borderId="0" xfId="0" applyNumberFormat="1" applyFill="1" applyAlignment="1" applyProtection="1">
      <alignment vertical="top"/>
      <protection locked="0"/>
    </xf>
    <xf numFmtId="41" fontId="0" fillId="6" borderId="0" xfId="0" applyNumberFormat="1" applyFill="1" applyAlignment="1" applyProtection="1">
      <alignment vertical="top"/>
      <protection locked="0"/>
    </xf>
    <xf numFmtId="5" fontId="0" fillId="7" borderId="0" xfId="0" applyNumberFormat="1" applyFill="1" applyAlignment="1">
      <alignment vertical="top"/>
    </xf>
    <xf numFmtId="5" fontId="0" fillId="7" borderId="0" xfId="0" applyNumberFormat="1" applyFill="1" applyAlignment="1">
      <alignment vertical="top" wrapText="1"/>
    </xf>
    <xf numFmtId="5" fontId="10" fillId="0" borderId="0" xfId="0" applyNumberFormat="1" applyFont="1" applyAlignment="1">
      <alignment vertical="top" wrapText="1"/>
    </xf>
    <xf numFmtId="164" fontId="0" fillId="0" borderId="0" xfId="0" applyAlignment="1">
      <alignment vertical="top" wrapText="1"/>
    </xf>
    <xf numFmtId="41" fontId="0" fillId="6" borderId="0" xfId="0" applyNumberFormat="1" applyFill="1" applyAlignment="1" applyProtection="1">
      <alignment vertical="top" wrapText="1"/>
      <protection locked="0"/>
    </xf>
    <xf numFmtId="164" fontId="0" fillId="7" borderId="0" xfId="0" applyFill="1" applyAlignment="1">
      <alignment vertical="top" wrapText="1"/>
    </xf>
    <xf numFmtId="0" fontId="10" fillId="0" borderId="10" xfId="0" applyNumberFormat="1" applyFont="1" applyBorder="1" applyAlignment="1">
      <alignment horizontal="center" vertical="top"/>
    </xf>
    <xf numFmtId="5" fontId="10" fillId="0" borderId="10" xfId="0" applyNumberFormat="1" applyFont="1" applyBorder="1" applyAlignment="1">
      <alignment vertical="top" wrapText="1"/>
    </xf>
    <xf numFmtId="41" fontId="10" fillId="0" borderId="10" xfId="0" applyNumberFormat="1" applyFont="1" applyBorder="1" applyAlignment="1" applyProtection="1">
      <alignment vertical="top"/>
      <protection locked="0"/>
    </xf>
    <xf numFmtId="41" fontId="10" fillId="2" borderId="10" xfId="0" applyNumberFormat="1" applyFont="1" applyFill="1" applyBorder="1" applyAlignment="1" applyProtection="1">
      <alignment vertical="top"/>
      <protection locked="0"/>
    </xf>
    <xf numFmtId="41" fontId="10" fillId="6" borderId="10" xfId="0" applyNumberFormat="1" applyFont="1" applyFill="1" applyBorder="1" applyAlignment="1" applyProtection="1">
      <alignment vertical="top"/>
      <protection locked="0"/>
    </xf>
    <xf numFmtId="41" fontId="0" fillId="6" borderId="10" xfId="0" applyNumberFormat="1" applyFill="1" applyBorder="1" applyAlignment="1" applyProtection="1">
      <alignment vertical="top" wrapText="1"/>
      <protection locked="0"/>
    </xf>
    <xf numFmtId="41" fontId="10" fillId="7" borderId="10" xfId="0" applyNumberFormat="1" applyFont="1" applyFill="1" applyBorder="1" applyAlignment="1" applyProtection="1">
      <alignment vertical="top"/>
      <protection locked="0"/>
    </xf>
    <xf numFmtId="5" fontId="10" fillId="7" borderId="10" xfId="0" applyNumberFormat="1" applyFont="1" applyFill="1" applyBorder="1" applyAlignment="1">
      <alignment vertical="top" wrapText="1"/>
    </xf>
    <xf numFmtId="5" fontId="10" fillId="0" borderId="0" xfId="0" applyNumberFormat="1" applyFont="1" applyAlignment="1">
      <alignment vertical="top"/>
    </xf>
    <xf numFmtId="166" fontId="0" fillId="0" borderId="0" xfId="0" applyNumberFormat="1" applyAlignment="1" applyProtection="1">
      <alignment vertical="top"/>
      <protection locked="0"/>
    </xf>
    <xf numFmtId="166" fontId="0" fillId="0" borderId="0" xfId="0" applyNumberFormat="1" applyAlignment="1" applyProtection="1">
      <alignment vertical="top" wrapText="1"/>
      <protection locked="0"/>
    </xf>
    <xf numFmtId="166" fontId="0" fillId="2" borderId="0" xfId="0" applyNumberFormat="1" applyFill="1" applyAlignment="1" applyProtection="1">
      <alignment vertical="top"/>
      <protection locked="0"/>
    </xf>
    <xf numFmtId="166" fontId="0" fillId="6" borderId="0" xfId="0" applyNumberFormat="1" applyFill="1" applyAlignment="1" applyProtection="1">
      <alignment vertical="top"/>
      <protection locked="0"/>
    </xf>
    <xf numFmtId="166" fontId="0" fillId="6" borderId="0" xfId="0" applyNumberFormat="1" applyFill="1" applyAlignment="1" applyProtection="1">
      <alignment vertical="top" wrapText="1"/>
      <protection locked="0"/>
    </xf>
    <xf numFmtId="5" fontId="0" fillId="3" borderId="0" xfId="0" applyNumberFormat="1" applyFill="1" applyAlignment="1">
      <alignment vertical="top" wrapText="1"/>
    </xf>
    <xf numFmtId="5" fontId="0" fillId="6" borderId="0" xfId="0" applyNumberFormat="1" applyFill="1" applyAlignment="1">
      <alignment vertical="center" wrapText="1"/>
    </xf>
    <xf numFmtId="5" fontId="0" fillId="6" borderId="0" xfId="0" applyNumberFormat="1" applyFill="1" applyAlignment="1">
      <alignment vertical="center" textRotation="45" wrapText="1"/>
    </xf>
    <xf numFmtId="11" fontId="0" fillId="0" borderId="0" xfId="0" quotePrefix="1" applyNumberFormat="1" applyAlignment="1">
      <alignment horizontal="center" vertical="top"/>
    </xf>
    <xf numFmtId="5" fontId="0" fillId="6" borderId="0" xfId="0" applyNumberFormat="1" applyFill="1" applyAlignment="1">
      <alignment horizontal="left" vertical="top" wrapText="1"/>
    </xf>
    <xf numFmtId="41" fontId="0" fillId="7" borderId="0" xfId="0" applyNumberFormat="1" applyFill="1" applyAlignment="1">
      <alignment vertical="top"/>
    </xf>
    <xf numFmtId="5" fontId="18" fillId="3" borderId="0" xfId="0" applyNumberFormat="1" applyFont="1" applyFill="1" applyAlignment="1">
      <alignment vertical="top" wrapText="1"/>
    </xf>
    <xf numFmtId="0" fontId="3" fillId="0" borderId="0" xfId="0" applyNumberFormat="1" applyFont="1" applyAlignment="1">
      <alignment horizontal="center" vertical="top"/>
    </xf>
    <xf numFmtId="37" fontId="3" fillId="0" borderId="0" xfId="0" applyNumberFormat="1" applyFont="1" applyAlignment="1">
      <alignment vertical="top" wrapText="1"/>
    </xf>
    <xf numFmtId="41" fontId="3" fillId="0" borderId="0" xfId="0" applyNumberFormat="1" applyFont="1" applyAlignment="1">
      <alignment vertical="top"/>
    </xf>
    <xf numFmtId="41" fontId="3" fillId="6" borderId="0" xfId="0" applyNumberFormat="1" applyFont="1" applyFill="1" applyAlignment="1">
      <alignment vertical="top"/>
    </xf>
    <xf numFmtId="41" fontId="3" fillId="7" borderId="0" xfId="0" applyNumberFormat="1" applyFont="1" applyFill="1"/>
    <xf numFmtId="164" fontId="3" fillId="7" borderId="0" xfId="0" applyFont="1" applyFill="1" applyAlignment="1">
      <alignment wrapText="1"/>
    </xf>
    <xf numFmtId="164" fontId="3" fillId="0" borderId="0" xfId="0" applyFont="1"/>
    <xf numFmtId="41" fontId="10" fillId="0" borderId="10" xfId="0" applyNumberFormat="1" applyFont="1" applyBorder="1" applyAlignment="1" applyProtection="1">
      <alignment vertical="top" wrapText="1"/>
      <protection locked="0"/>
    </xf>
    <xf numFmtId="41" fontId="3" fillId="6" borderId="10" xfId="0" applyNumberFormat="1" applyFont="1" applyFill="1" applyBorder="1" applyAlignment="1">
      <alignment vertical="top"/>
    </xf>
    <xf numFmtId="41" fontId="0" fillId="7" borderId="0" xfId="0" applyNumberFormat="1" applyFill="1" applyAlignment="1" applyProtection="1">
      <alignment vertical="top"/>
      <protection locked="0"/>
    </xf>
    <xf numFmtId="0" fontId="10" fillId="0" borderId="7" xfId="0" applyNumberFormat="1" applyFont="1" applyBorder="1" applyAlignment="1">
      <alignment horizontal="center" vertical="top"/>
    </xf>
    <xf numFmtId="5" fontId="10" fillId="0" borderId="7" xfId="0" applyNumberFormat="1" applyFont="1" applyBorder="1" applyAlignment="1">
      <alignment vertical="top" wrapText="1"/>
    </xf>
    <xf numFmtId="41" fontId="10" fillId="0" borderId="7" xfId="0" applyNumberFormat="1" applyFont="1" applyBorder="1" applyAlignment="1">
      <alignment vertical="top"/>
    </xf>
    <xf numFmtId="41" fontId="10" fillId="2" borderId="7" xfId="0" applyNumberFormat="1" applyFont="1" applyFill="1" applyBorder="1" applyAlignment="1">
      <alignment vertical="top"/>
    </xf>
    <xf numFmtId="41" fontId="10" fillId="6" borderId="7" xfId="0" applyNumberFormat="1" applyFont="1" applyFill="1" applyBorder="1" applyAlignment="1">
      <alignment vertical="top"/>
    </xf>
    <xf numFmtId="41" fontId="10" fillId="7" borderId="7" xfId="0" applyNumberFormat="1" applyFont="1" applyFill="1" applyBorder="1" applyAlignment="1">
      <alignment vertical="top"/>
    </xf>
    <xf numFmtId="5" fontId="10" fillId="7" borderId="7" xfId="0" applyNumberFormat="1" applyFont="1" applyFill="1" applyBorder="1" applyAlignment="1">
      <alignment vertical="top" wrapText="1"/>
    </xf>
    <xf numFmtId="5" fontId="10" fillId="0" borderId="7" xfId="0" applyNumberFormat="1" applyFont="1" applyBorder="1" applyAlignment="1">
      <alignment vertical="top"/>
    </xf>
    <xf numFmtId="41" fontId="0" fillId="0" borderId="0" xfId="0" applyNumberFormat="1" applyAlignment="1">
      <alignment vertical="top" wrapText="1"/>
    </xf>
    <xf numFmtId="41" fontId="0" fillId="2" borderId="0" xfId="0" applyNumberFormat="1" applyFill="1" applyAlignment="1">
      <alignment vertical="top"/>
    </xf>
    <xf numFmtId="164" fontId="0" fillId="0" borderId="0" xfId="0" applyAlignment="1">
      <alignment vertical="top"/>
    </xf>
    <xf numFmtId="3" fontId="19" fillId="0" borderId="0" xfId="0" applyNumberFormat="1" applyFont="1" applyAlignment="1">
      <alignment vertical="top"/>
    </xf>
    <xf numFmtId="3" fontId="19" fillId="0" borderId="0" xfId="0" applyNumberFormat="1" applyFont="1" applyAlignment="1">
      <alignment vertical="top" wrapText="1"/>
    </xf>
    <xf numFmtId="3" fontId="19" fillId="2" borderId="0" xfId="0" applyNumberFormat="1" applyFont="1" applyFill="1" applyAlignment="1">
      <alignment vertical="top"/>
    </xf>
    <xf numFmtId="3" fontId="0" fillId="2" borderId="0" xfId="0" applyNumberFormat="1" applyFill="1" applyAlignment="1">
      <alignment vertical="top"/>
    </xf>
    <xf numFmtId="41" fontId="8" fillId="2" borderId="0" xfId="0" applyNumberFormat="1" applyFont="1" applyFill="1" applyAlignment="1">
      <alignment vertical="top" wrapText="1"/>
    </xf>
    <xf numFmtId="37" fontId="8" fillId="5" borderId="0" xfId="0" applyNumberFormat="1" applyFont="1" applyFill="1" applyAlignment="1">
      <alignment vertical="top"/>
    </xf>
    <xf numFmtId="37" fontId="8" fillId="0" borderId="0" xfId="0" applyNumberFormat="1" applyFont="1" applyAlignment="1">
      <alignment vertical="top"/>
    </xf>
    <xf numFmtId="0" fontId="5" fillId="0" borderId="0" xfId="0" applyNumberFormat="1" applyFont="1" applyAlignment="1">
      <alignment horizontal="left" vertical="top"/>
    </xf>
    <xf numFmtId="3" fontId="3" fillId="0" borderId="0" xfId="0" applyNumberFormat="1" applyFont="1" applyAlignment="1">
      <alignment vertical="top"/>
    </xf>
    <xf numFmtId="41" fontId="20" fillId="0" borderId="0" xfId="0" applyNumberFormat="1" applyFont="1" applyAlignment="1">
      <alignment horizontal="center" vertical="top"/>
    </xf>
    <xf numFmtId="41" fontId="20" fillId="2" borderId="0" xfId="0" applyNumberFormat="1" applyFont="1" applyFill="1" applyAlignment="1">
      <alignment horizontal="center" vertical="top"/>
    </xf>
    <xf numFmtId="41" fontId="20" fillId="0" borderId="0" xfId="0" applyNumberFormat="1" applyFont="1" applyAlignment="1">
      <alignment horizontal="center" vertical="top" wrapText="1"/>
    </xf>
    <xf numFmtId="0" fontId="10" fillId="6" borderId="2" xfId="0" applyNumberFormat="1" applyFont="1" applyFill="1" applyBorder="1" applyAlignment="1">
      <alignment horizontal="center" vertical="top" wrapText="1"/>
    </xf>
    <xf numFmtId="3" fontId="10" fillId="6" borderId="3" xfId="0" applyNumberFormat="1" applyFont="1" applyFill="1" applyBorder="1" applyAlignment="1">
      <alignment horizontal="center" vertical="top"/>
    </xf>
    <xf numFmtId="5" fontId="10" fillId="6" borderId="3" xfId="0" applyNumberFormat="1" applyFont="1" applyFill="1" applyBorder="1" applyAlignment="1" applyProtection="1">
      <alignment horizontal="center" vertical="top" wrapText="1"/>
      <protection locked="0"/>
    </xf>
    <xf numFmtId="5" fontId="10" fillId="6" borderId="2" xfId="0" applyNumberFormat="1" applyFont="1" applyFill="1" applyBorder="1" applyAlignment="1" applyProtection="1">
      <alignment horizontal="center" vertical="top" wrapText="1"/>
      <protection locked="0"/>
    </xf>
    <xf numFmtId="0" fontId="10" fillId="6" borderId="4" xfId="0" applyNumberFormat="1" applyFont="1" applyFill="1" applyBorder="1" applyAlignment="1" applyProtection="1">
      <alignment horizontal="center" vertical="top" wrapText="1"/>
      <protection locked="0"/>
    </xf>
    <xf numFmtId="0" fontId="10" fillId="2" borderId="4" xfId="0" applyNumberFormat="1" applyFont="1" applyFill="1" applyBorder="1" applyAlignment="1" applyProtection="1">
      <alignment horizontal="center" vertical="top" wrapText="1"/>
      <protection locked="0"/>
    </xf>
    <xf numFmtId="0" fontId="10" fillId="8" borderId="4" xfId="0" applyNumberFormat="1" applyFont="1" applyFill="1" applyBorder="1" applyAlignment="1" applyProtection="1">
      <alignment horizontal="center" vertical="top" wrapText="1"/>
      <protection locked="0"/>
    </xf>
    <xf numFmtId="0" fontId="10" fillId="2" borderId="0" xfId="0" applyNumberFormat="1" applyFont="1" applyFill="1" applyAlignment="1" applyProtection="1">
      <alignment horizontal="center" vertical="top" wrapText="1"/>
      <protection locked="0"/>
    </xf>
    <xf numFmtId="0" fontId="10" fillId="7" borderId="11" xfId="0" applyNumberFormat="1" applyFont="1" applyFill="1" applyBorder="1" applyAlignment="1" applyProtection="1">
      <alignment horizontal="center" vertical="top" wrapText="1"/>
      <protection locked="0"/>
    </xf>
    <xf numFmtId="0" fontId="5" fillId="0" borderId="0" xfId="0" applyNumberFormat="1" applyFont="1" applyAlignment="1">
      <alignment horizontal="center" vertical="top"/>
    </xf>
    <xf numFmtId="37" fontId="5" fillId="0" borderId="0" xfId="0" applyNumberFormat="1" applyFont="1" applyAlignment="1">
      <alignment vertical="top"/>
    </xf>
    <xf numFmtId="41" fontId="3" fillId="2" borderId="0" xfId="0" applyNumberFormat="1" applyFont="1" applyFill="1" applyAlignment="1" applyProtection="1">
      <alignment vertical="top" wrapText="1"/>
      <protection locked="0"/>
    </xf>
    <xf numFmtId="37" fontId="3" fillId="7" borderId="0" xfId="0" applyNumberFormat="1" applyFont="1" applyFill="1" applyAlignment="1">
      <alignment vertical="top"/>
    </xf>
    <xf numFmtId="37" fontId="3" fillId="7" borderId="0" xfId="0" applyNumberFormat="1" applyFont="1" applyFill="1" applyAlignment="1">
      <alignment vertical="top" wrapText="1"/>
    </xf>
    <xf numFmtId="37" fontId="3" fillId="0" borderId="0" xfId="0" applyNumberFormat="1" applyFont="1" applyAlignment="1">
      <alignment vertical="top"/>
    </xf>
    <xf numFmtId="41" fontId="3" fillId="0" borderId="0" xfId="0" applyNumberFormat="1" applyFont="1" applyAlignment="1">
      <alignment vertical="top" wrapText="1"/>
    </xf>
    <xf numFmtId="41" fontId="3" fillId="2" borderId="0" xfId="0" applyNumberFormat="1" applyFont="1" applyFill="1" applyAlignment="1">
      <alignment vertical="top" wrapText="1"/>
    </xf>
    <xf numFmtId="41" fontId="3" fillId="6" borderId="0" xfId="0" applyNumberFormat="1" applyFont="1" applyFill="1" applyAlignment="1">
      <alignment vertical="top" wrapText="1"/>
    </xf>
    <xf numFmtId="37" fontId="21" fillId="3" borderId="0" xfId="0" applyNumberFormat="1" applyFont="1" applyFill="1" applyAlignment="1">
      <alignment vertical="top" wrapText="1"/>
    </xf>
    <xf numFmtId="37" fontId="5" fillId="0" borderId="0" xfId="0" applyNumberFormat="1" applyFont="1" applyAlignment="1">
      <alignment vertical="top" wrapText="1"/>
    </xf>
    <xf numFmtId="41" fontId="5" fillId="0" borderId="0" xfId="0" applyNumberFormat="1" applyFont="1" applyAlignment="1">
      <alignment vertical="top" wrapText="1"/>
    </xf>
    <xf numFmtId="41" fontId="5" fillId="6" borderId="0" xfId="0" applyNumberFormat="1" applyFont="1" applyFill="1" applyAlignment="1">
      <alignment vertical="top" wrapText="1"/>
    </xf>
    <xf numFmtId="37" fontId="5" fillId="7" borderId="0" xfId="0" applyNumberFormat="1" applyFont="1" applyFill="1" applyAlignment="1">
      <alignment vertical="top"/>
    </xf>
    <xf numFmtId="37" fontId="5" fillId="7" borderId="0" xfId="0" applyNumberFormat="1" applyFont="1" applyFill="1" applyAlignment="1">
      <alignment vertical="top" wrapText="1"/>
    </xf>
    <xf numFmtId="0" fontId="3" fillId="6" borderId="0" xfId="0" applyNumberFormat="1" applyFont="1" applyFill="1" applyAlignment="1">
      <alignment vertical="top" wrapText="1"/>
    </xf>
    <xf numFmtId="37" fontId="3" fillId="3" borderId="0" xfId="0" applyNumberFormat="1" applyFont="1" applyFill="1" applyAlignment="1">
      <alignment vertical="top" wrapText="1"/>
    </xf>
    <xf numFmtId="0" fontId="5" fillId="0" borderId="10" xfId="0" applyNumberFormat="1" applyFont="1" applyBorder="1" applyAlignment="1">
      <alignment horizontal="center" vertical="top"/>
    </xf>
    <xf numFmtId="37" fontId="22" fillId="3" borderId="10" xfId="0" applyNumberFormat="1" applyFont="1" applyFill="1" applyBorder="1" applyAlignment="1">
      <alignment vertical="top" wrapText="1"/>
    </xf>
    <xf numFmtId="41" fontId="5" fillId="0" borderId="10" xfId="0" applyNumberFormat="1" applyFont="1" applyBorder="1" applyAlignment="1">
      <alignment vertical="top" wrapText="1"/>
    </xf>
    <xf numFmtId="41" fontId="5" fillId="2" borderId="10" xfId="0" applyNumberFormat="1" applyFont="1" applyFill="1" applyBorder="1" applyAlignment="1">
      <alignment vertical="top" wrapText="1"/>
    </xf>
    <xf numFmtId="41" fontId="5" fillId="6" borderId="10" xfId="0" applyNumberFormat="1" applyFont="1" applyFill="1" applyBorder="1" applyAlignment="1">
      <alignment vertical="top" wrapText="1"/>
    </xf>
    <xf numFmtId="41" fontId="5" fillId="7" borderId="10" xfId="0" applyNumberFormat="1" applyFont="1" applyFill="1" applyBorder="1" applyAlignment="1">
      <alignment vertical="top" wrapText="1"/>
    </xf>
    <xf numFmtId="166" fontId="21" fillId="0" borderId="0" xfId="0" applyNumberFormat="1" applyFont="1" applyAlignment="1" applyProtection="1">
      <alignment vertical="top" wrapText="1"/>
      <protection locked="0"/>
    </xf>
    <xf numFmtId="166" fontId="3" fillId="2" borderId="0" xfId="0" applyNumberFormat="1" applyFont="1" applyFill="1" applyAlignment="1" applyProtection="1">
      <alignment vertical="top" wrapText="1"/>
      <protection locked="0"/>
    </xf>
    <xf numFmtId="166" fontId="3" fillId="6" borderId="0" xfId="0" applyNumberFormat="1" applyFont="1" applyFill="1" applyAlignment="1" applyProtection="1">
      <alignment vertical="top" wrapText="1"/>
      <protection locked="0"/>
    </xf>
    <xf numFmtId="37" fontId="4" fillId="3" borderId="0" xfId="0" applyNumberFormat="1" applyFont="1" applyFill="1" applyAlignment="1">
      <alignment vertical="top" wrapText="1"/>
    </xf>
    <xf numFmtId="37" fontId="21" fillId="7" borderId="0" xfId="0" applyNumberFormat="1" applyFont="1" applyFill="1" applyAlignment="1">
      <alignment vertical="top" wrapText="1"/>
    </xf>
    <xf numFmtId="43" fontId="3" fillId="6" borderId="0" xfId="0" applyNumberFormat="1" applyFont="1" applyFill="1" applyAlignment="1" applyProtection="1">
      <alignment vertical="top" wrapText="1"/>
      <protection locked="0"/>
    </xf>
    <xf numFmtId="166" fontId="21" fillId="9" borderId="0" xfId="0" applyNumberFormat="1" applyFont="1" applyFill="1" applyAlignment="1" applyProtection="1">
      <alignment vertical="top" wrapText="1"/>
      <protection locked="0"/>
    </xf>
    <xf numFmtId="0" fontId="3" fillId="6" borderId="0" xfId="0" applyNumberFormat="1" applyFont="1" applyFill="1" applyAlignment="1" applyProtection="1">
      <alignment vertical="top" wrapText="1"/>
      <protection locked="0"/>
    </xf>
    <xf numFmtId="166" fontId="23" fillId="6" borderId="0" xfId="0" applyNumberFormat="1" applyFont="1" applyFill="1" applyAlignment="1" applyProtection="1">
      <alignment vertical="top" wrapText="1"/>
      <protection locked="0"/>
    </xf>
    <xf numFmtId="37" fontId="3" fillId="6" borderId="0" xfId="0" applyNumberFormat="1" applyFont="1" applyFill="1" applyAlignment="1">
      <alignment horizontal="left" vertical="top" wrapText="1"/>
    </xf>
    <xf numFmtId="166" fontId="3" fillId="7" borderId="0" xfId="0" applyNumberFormat="1" applyFont="1" applyFill="1" applyAlignment="1" applyProtection="1">
      <alignment vertical="top" wrapText="1"/>
      <protection locked="0"/>
    </xf>
    <xf numFmtId="37" fontId="5" fillId="0" borderId="10" xfId="0" applyNumberFormat="1" applyFont="1" applyBorder="1" applyAlignment="1">
      <alignment vertical="top"/>
    </xf>
    <xf numFmtId="41" fontId="5" fillId="2" borderId="10" xfId="0" applyNumberFormat="1" applyFont="1" applyFill="1" applyBorder="1" applyAlignment="1" applyProtection="1">
      <alignment vertical="top" wrapText="1"/>
      <protection locked="0"/>
    </xf>
    <xf numFmtId="41" fontId="5" fillId="6" borderId="10" xfId="0" applyNumberFormat="1" applyFont="1" applyFill="1" applyBorder="1" applyAlignment="1" applyProtection="1">
      <alignment vertical="top" wrapText="1"/>
      <protection locked="0"/>
    </xf>
    <xf numFmtId="41" fontId="5" fillId="7" borderId="10" xfId="0" applyNumberFormat="1" applyFont="1" applyFill="1" applyBorder="1" applyAlignment="1" applyProtection="1">
      <alignment vertical="top" wrapText="1"/>
      <protection locked="0"/>
    </xf>
    <xf numFmtId="41" fontId="3" fillId="2" borderId="0" xfId="0" applyNumberFormat="1" applyFont="1" applyFill="1" applyAlignment="1">
      <alignment vertical="top"/>
    </xf>
    <xf numFmtId="41" fontId="21" fillId="0" borderId="0" xfId="0" applyNumberFormat="1" applyFont="1" applyAlignment="1" applyProtection="1">
      <alignment vertical="top"/>
      <protection locked="0"/>
    </xf>
    <xf numFmtId="41" fontId="21" fillId="0" borderId="0" xfId="0" applyNumberFormat="1" applyFont="1" applyAlignment="1" applyProtection="1">
      <alignment horizontal="right" vertical="top"/>
      <protection locked="0"/>
    </xf>
    <xf numFmtId="41" fontId="21" fillId="0" borderId="0" xfId="0" applyNumberFormat="1" applyFont="1" applyAlignment="1" applyProtection="1">
      <alignment vertical="top" wrapText="1"/>
      <protection locked="0"/>
    </xf>
    <xf numFmtId="41" fontId="21" fillId="2" borderId="0" xfId="0" applyNumberFormat="1" applyFont="1" applyFill="1" applyAlignment="1" applyProtection="1">
      <alignment vertical="top"/>
      <protection locked="0"/>
    </xf>
    <xf numFmtId="41" fontId="21" fillId="6" borderId="0" xfId="0" applyNumberFormat="1" applyFont="1" applyFill="1" applyAlignment="1" applyProtection="1">
      <alignment vertical="top"/>
      <protection locked="0"/>
    </xf>
    <xf numFmtId="164" fontId="3" fillId="6" borderId="0" xfId="0" applyFont="1" applyFill="1" applyAlignment="1">
      <alignment vertical="top" wrapText="1"/>
    </xf>
    <xf numFmtId="164" fontId="3" fillId="0" borderId="0" xfId="0" applyFont="1" applyAlignment="1">
      <alignment vertical="top" wrapText="1"/>
    </xf>
    <xf numFmtId="37" fontId="3" fillId="6" borderId="0" xfId="0" applyNumberFormat="1" applyFont="1" applyFill="1" applyAlignment="1">
      <alignment vertical="top" wrapText="1"/>
    </xf>
    <xf numFmtId="37" fontId="0" fillId="3" borderId="11" xfId="0" applyNumberFormat="1" applyFill="1" applyBorder="1" applyAlignment="1">
      <alignment vertical="top" wrapText="1"/>
    </xf>
    <xf numFmtId="37" fontId="3" fillId="6" borderId="0" xfId="0" applyNumberFormat="1" applyFont="1" applyFill="1" applyAlignment="1">
      <alignment vertical="top"/>
    </xf>
    <xf numFmtId="0" fontId="5" fillId="0" borderId="6" xfId="0" applyNumberFormat="1" applyFont="1" applyBorder="1" applyAlignment="1">
      <alignment horizontal="center" vertical="top"/>
    </xf>
    <xf numFmtId="37" fontId="5" fillId="0" borderId="6" xfId="0" applyNumberFormat="1" applyFont="1" applyBorder="1" applyAlignment="1">
      <alignment vertical="top" wrapText="1"/>
    </xf>
    <xf numFmtId="41" fontId="5" fillId="0" borderId="6" xfId="0" applyNumberFormat="1" applyFont="1" applyBorder="1" applyAlignment="1">
      <alignment vertical="top"/>
    </xf>
    <xf numFmtId="41" fontId="3" fillId="0" borderId="6" xfId="0" applyNumberFormat="1" applyFont="1" applyBorder="1" applyAlignment="1">
      <alignment vertical="top" wrapText="1"/>
    </xf>
    <xf numFmtId="41" fontId="5" fillId="2" borderId="6" xfId="0" applyNumberFormat="1" applyFont="1" applyFill="1" applyBorder="1" applyAlignment="1">
      <alignment vertical="top"/>
    </xf>
    <xf numFmtId="41" fontId="5" fillId="6" borderId="6" xfId="0" applyNumberFormat="1" applyFont="1" applyFill="1" applyBorder="1" applyAlignment="1">
      <alignment vertical="top"/>
    </xf>
    <xf numFmtId="41" fontId="5" fillId="7" borderId="6" xfId="0" applyNumberFormat="1" applyFont="1" applyFill="1" applyBorder="1" applyAlignment="1">
      <alignment vertical="top"/>
    </xf>
    <xf numFmtId="37" fontId="3" fillId="6" borderId="6" xfId="0" applyNumberFormat="1" applyFont="1" applyFill="1" applyBorder="1" applyAlignment="1">
      <alignment vertical="top"/>
    </xf>
    <xf numFmtId="37" fontId="5" fillId="0" borderId="6" xfId="0" applyNumberFormat="1" applyFont="1" applyBorder="1" applyAlignment="1">
      <alignment vertical="top"/>
    </xf>
    <xf numFmtId="164" fontId="3" fillId="6" borderId="0" xfId="0" applyFont="1" applyFill="1" applyAlignment="1">
      <alignment horizontal="left" vertical="top" wrapText="1"/>
    </xf>
    <xf numFmtId="0" fontId="3" fillId="6" borderId="0" xfId="2" quotePrefix="1" applyNumberFormat="1" applyFont="1" applyFill="1" applyBorder="1" applyAlignment="1" applyProtection="1">
      <alignment vertical="top" wrapText="1"/>
      <protection locked="0"/>
    </xf>
    <xf numFmtId="41" fontId="22" fillId="0" borderId="6" xfId="0" applyNumberFormat="1" applyFont="1" applyBorder="1" applyAlignment="1" applyProtection="1">
      <alignment vertical="top"/>
      <protection locked="0"/>
    </xf>
    <xf numFmtId="41" fontId="22" fillId="2" borderId="6" xfId="0" applyNumberFormat="1" applyFont="1" applyFill="1" applyBorder="1" applyAlignment="1" applyProtection="1">
      <alignment vertical="top"/>
      <protection locked="0"/>
    </xf>
    <xf numFmtId="41" fontId="22" fillId="6" borderId="6" xfId="0" applyNumberFormat="1" applyFont="1" applyFill="1" applyBorder="1" applyAlignment="1" applyProtection="1">
      <alignment vertical="top"/>
      <protection locked="0"/>
    </xf>
    <xf numFmtId="41" fontId="3" fillId="6" borderId="6" xfId="0" applyNumberFormat="1" applyFont="1" applyFill="1" applyBorder="1" applyAlignment="1">
      <alignment vertical="top" wrapText="1"/>
    </xf>
    <xf numFmtId="41" fontId="22" fillId="7" borderId="6" xfId="0" applyNumberFormat="1" applyFont="1" applyFill="1" applyBorder="1" applyAlignment="1" applyProtection="1">
      <alignment vertical="top"/>
      <protection locked="0"/>
    </xf>
    <xf numFmtId="0" fontId="0" fillId="6" borderId="11" xfId="4" quotePrefix="1" applyNumberFormat="1" applyFont="1" applyFill="1" applyBorder="1" applyAlignment="1" applyProtection="1">
      <alignment vertical="top" wrapText="1"/>
      <protection locked="0"/>
    </xf>
    <xf numFmtId="164" fontId="4" fillId="3" borderId="0" xfId="0" applyFont="1" applyFill="1" applyAlignment="1">
      <alignment vertical="top" wrapText="1"/>
    </xf>
    <xf numFmtId="0" fontId="0" fillId="6" borderId="0" xfId="4" quotePrefix="1" applyNumberFormat="1" applyFont="1" applyFill="1" applyBorder="1" applyAlignment="1" applyProtection="1">
      <alignment vertical="top" wrapText="1"/>
      <protection locked="0"/>
    </xf>
    <xf numFmtId="164" fontId="4" fillId="2" borderId="0" xfId="0" applyFont="1" applyFill="1" applyAlignment="1">
      <alignment vertical="top" wrapText="1"/>
    </xf>
    <xf numFmtId="37" fontId="4" fillId="0" borderId="0" xfId="0" applyNumberFormat="1" applyFont="1" applyAlignment="1">
      <alignment vertical="top" wrapText="1"/>
    </xf>
    <xf numFmtId="37" fontId="0" fillId="0" borderId="0" xfId="0" applyNumberFormat="1" applyAlignment="1">
      <alignment vertical="top" wrapText="1"/>
    </xf>
    <xf numFmtId="37" fontId="0" fillId="3" borderId="0" xfId="0" applyNumberFormat="1" applyFill="1" applyAlignment="1">
      <alignment vertical="top" wrapText="1"/>
    </xf>
    <xf numFmtId="164" fontId="0" fillId="6" borderId="0" xfId="0" applyFill="1" applyAlignment="1">
      <alignment vertical="top"/>
    </xf>
    <xf numFmtId="41" fontId="21" fillId="6" borderId="0" xfId="0" applyNumberFormat="1" applyFont="1" applyFill="1" applyAlignment="1" applyProtection="1">
      <alignment vertical="top" wrapText="1"/>
      <protection locked="0"/>
    </xf>
    <xf numFmtId="41" fontId="5" fillId="0" borderId="6" xfId="0" applyNumberFormat="1" applyFont="1" applyBorder="1" applyAlignment="1" applyProtection="1">
      <alignment vertical="top"/>
      <protection locked="0"/>
    </xf>
    <xf numFmtId="41" fontId="5" fillId="0" borderId="6" xfId="0" applyNumberFormat="1" applyFont="1" applyBorder="1" applyAlignment="1" applyProtection="1">
      <alignment vertical="top" wrapText="1"/>
      <protection locked="0"/>
    </xf>
    <xf numFmtId="41" fontId="5" fillId="2" borderId="6" xfId="0" applyNumberFormat="1" applyFont="1" applyFill="1" applyBorder="1" applyAlignment="1" applyProtection="1">
      <alignment vertical="top"/>
      <protection locked="0"/>
    </xf>
    <xf numFmtId="41" fontId="5" fillId="6" borderId="6" xfId="0" applyNumberFormat="1" applyFont="1" applyFill="1" applyBorder="1" applyAlignment="1" applyProtection="1">
      <alignment vertical="top"/>
      <protection locked="0"/>
    </xf>
    <xf numFmtId="41" fontId="5" fillId="6" borderId="6" xfId="0" applyNumberFormat="1" applyFont="1" applyFill="1" applyBorder="1" applyAlignment="1" applyProtection="1">
      <alignment vertical="top" wrapText="1"/>
      <protection locked="0"/>
    </xf>
    <xf numFmtId="41" fontId="5" fillId="7" borderId="6" xfId="0" applyNumberFormat="1" applyFont="1" applyFill="1" applyBorder="1" applyAlignment="1" applyProtection="1">
      <alignment vertical="top"/>
      <protection locked="0"/>
    </xf>
    <xf numFmtId="37" fontId="25" fillId="3" borderId="0" xfId="0" applyNumberFormat="1" applyFont="1" applyFill="1" applyAlignment="1">
      <alignment vertical="top" wrapText="1"/>
    </xf>
    <xf numFmtId="164" fontId="23" fillId="0" borderId="0" xfId="0" applyFont="1" applyAlignment="1">
      <alignment vertical="top" wrapText="1"/>
    </xf>
    <xf numFmtId="164" fontId="25" fillId="3" borderId="0" xfId="0" applyFont="1" applyFill="1" applyAlignment="1">
      <alignment vertical="top" wrapText="1"/>
    </xf>
    <xf numFmtId="164" fontId="26" fillId="0" borderId="0" xfId="0" applyFont="1" applyAlignment="1">
      <alignment vertical="top" wrapText="1"/>
    </xf>
    <xf numFmtId="164" fontId="27" fillId="0" borderId="0" xfId="0" applyFont="1" applyAlignment="1">
      <alignment vertical="top" wrapText="1"/>
    </xf>
    <xf numFmtId="37" fontId="26" fillId="3" borderId="0" xfId="0" applyNumberFormat="1" applyFont="1" applyFill="1" applyAlignment="1">
      <alignment vertical="top" wrapText="1"/>
    </xf>
    <xf numFmtId="41" fontId="22" fillId="6" borderId="6" xfId="0" applyNumberFormat="1" applyFont="1" applyFill="1" applyBorder="1" applyAlignment="1" applyProtection="1">
      <alignment vertical="top" wrapText="1"/>
      <protection locked="0"/>
    </xf>
    <xf numFmtId="41" fontId="22" fillId="7" borderId="6" xfId="0" applyNumberFormat="1" applyFont="1" applyFill="1" applyBorder="1" applyAlignment="1" applyProtection="1">
      <alignment vertical="top" wrapText="1"/>
      <protection locked="0"/>
    </xf>
    <xf numFmtId="41" fontId="3" fillId="0" borderId="5" xfId="0" applyNumberFormat="1" applyFont="1" applyBorder="1" applyAlignment="1">
      <alignment vertical="top"/>
    </xf>
    <xf numFmtId="41" fontId="21" fillId="7" borderId="0" xfId="0" applyNumberFormat="1" applyFont="1" applyFill="1" applyAlignment="1" applyProtection="1">
      <alignment vertical="top"/>
      <protection locked="0"/>
    </xf>
    <xf numFmtId="37" fontId="5" fillId="0" borderId="10" xfId="0" applyNumberFormat="1" applyFont="1" applyBorder="1" applyAlignment="1">
      <alignment vertical="top" wrapText="1"/>
    </xf>
    <xf numFmtId="41" fontId="22" fillId="0" borderId="10" xfId="0" applyNumberFormat="1" applyFont="1" applyBorder="1" applyAlignment="1">
      <alignment vertical="top"/>
    </xf>
    <xf numFmtId="41" fontId="22" fillId="2" borderId="10" xfId="0" applyNumberFormat="1" applyFont="1" applyFill="1" applyBorder="1" applyAlignment="1">
      <alignment vertical="top"/>
    </xf>
    <xf numFmtId="41" fontId="22" fillId="6" borderId="10" xfId="0" applyNumberFormat="1" applyFont="1" applyFill="1" applyBorder="1" applyAlignment="1">
      <alignment vertical="top"/>
    </xf>
    <xf numFmtId="41" fontId="22" fillId="6" borderId="10" xfId="0" applyNumberFormat="1" applyFont="1" applyFill="1" applyBorder="1" applyAlignment="1">
      <alignment vertical="top" wrapText="1"/>
    </xf>
    <xf numFmtId="41" fontId="22" fillId="7" borderId="10" xfId="0" applyNumberFormat="1" applyFont="1" applyFill="1" applyBorder="1" applyAlignment="1">
      <alignment vertical="top"/>
    </xf>
    <xf numFmtId="166" fontId="3" fillId="2" borderId="0" xfId="0" applyNumberFormat="1" applyFont="1" applyFill="1" applyAlignment="1" applyProtection="1">
      <alignment vertical="top"/>
      <protection locked="0"/>
    </xf>
    <xf numFmtId="43" fontId="3" fillId="6" borderId="0" xfId="0" applyNumberFormat="1" applyFont="1" applyFill="1" applyAlignment="1" applyProtection="1">
      <alignment vertical="top"/>
      <protection locked="0"/>
    </xf>
    <xf numFmtId="166" fontId="3" fillId="5" borderId="0" xfId="0" applyNumberFormat="1" applyFont="1" applyFill="1" applyAlignment="1" applyProtection="1">
      <alignment vertical="top"/>
      <protection locked="0"/>
    </xf>
    <xf numFmtId="166" fontId="3" fillId="5" borderId="0" xfId="0" applyNumberFormat="1" applyFont="1" applyFill="1" applyAlignment="1" applyProtection="1">
      <alignment vertical="top" wrapText="1"/>
      <protection locked="0"/>
    </xf>
    <xf numFmtId="41" fontId="3" fillId="5" borderId="0" xfId="0" applyNumberFormat="1" applyFont="1" applyFill="1" applyAlignment="1" applyProtection="1">
      <alignment vertical="top"/>
      <protection locked="0"/>
    </xf>
    <xf numFmtId="41" fontId="3" fillId="5" borderId="0" xfId="0" applyNumberFormat="1" applyFont="1" applyFill="1" applyAlignment="1">
      <alignment vertical="top"/>
    </xf>
    <xf numFmtId="43" fontId="3" fillId="5" borderId="0" xfId="0" applyNumberFormat="1" applyFont="1" applyFill="1" applyAlignment="1" applyProtection="1">
      <alignment vertical="top"/>
      <protection locked="0"/>
    </xf>
    <xf numFmtId="166" fontId="3" fillId="6" borderId="0" xfId="0" applyNumberFormat="1" applyFont="1" applyFill="1" applyAlignment="1" applyProtection="1">
      <alignment vertical="top"/>
      <protection locked="0"/>
    </xf>
    <xf numFmtId="41" fontId="5" fillId="0" borderId="0" xfId="0" applyNumberFormat="1" applyFont="1" applyAlignment="1" applyProtection="1">
      <alignment vertical="top" wrapText="1"/>
      <protection locked="0"/>
    </xf>
    <xf numFmtId="166" fontId="5" fillId="0" borderId="0" xfId="0" applyNumberFormat="1" applyFont="1" applyAlignment="1" applyProtection="1">
      <alignment vertical="top" wrapText="1"/>
      <protection locked="0"/>
    </xf>
    <xf numFmtId="41" fontId="5" fillId="6" borderId="0" xfId="0" applyNumberFormat="1" applyFont="1" applyFill="1" applyAlignment="1" applyProtection="1">
      <alignment vertical="top" wrapText="1"/>
      <protection locked="0"/>
    </xf>
    <xf numFmtId="166" fontId="3" fillId="0" borderId="0" xfId="0" applyNumberFormat="1" applyFont="1" applyAlignment="1">
      <alignment vertical="top"/>
    </xf>
    <xf numFmtId="166" fontId="21" fillId="0" borderId="0" xfId="0" applyNumberFormat="1" applyFont="1" applyAlignment="1" applyProtection="1">
      <alignment vertical="top"/>
      <protection locked="0"/>
    </xf>
    <xf numFmtId="166" fontId="3" fillId="7" borderId="0" xfId="0" applyNumberFormat="1" applyFont="1" applyFill="1" applyAlignment="1" applyProtection="1">
      <alignment vertical="top"/>
      <protection locked="0"/>
    </xf>
    <xf numFmtId="164" fontId="3" fillId="0" borderId="0" xfId="0" applyFont="1" applyAlignment="1">
      <alignment vertical="top"/>
    </xf>
    <xf numFmtId="164" fontId="3" fillId="7" borderId="0" xfId="0" applyFont="1" applyFill="1" applyAlignment="1">
      <alignment vertical="top"/>
    </xf>
    <xf numFmtId="0" fontId="5" fillId="0" borderId="7" xfId="0" applyNumberFormat="1" applyFont="1" applyBorder="1" applyAlignment="1">
      <alignment horizontal="center" vertical="top"/>
    </xf>
    <xf numFmtId="37" fontId="5" fillId="0" borderId="7" xfId="0" applyNumberFormat="1" applyFont="1" applyBorder="1" applyAlignment="1">
      <alignment vertical="top"/>
    </xf>
    <xf numFmtId="41" fontId="5" fillId="0" borderId="7" xfId="0" applyNumberFormat="1" applyFont="1" applyBorder="1" applyAlignment="1">
      <alignment vertical="top"/>
    </xf>
    <xf numFmtId="41" fontId="5" fillId="2" borderId="7" xfId="0" applyNumberFormat="1" applyFont="1" applyFill="1" applyBorder="1" applyAlignment="1">
      <alignment vertical="top"/>
    </xf>
    <xf numFmtId="41" fontId="5" fillId="6" borderId="7" xfId="0" applyNumberFormat="1" applyFont="1" applyFill="1" applyBorder="1" applyAlignment="1">
      <alignment vertical="top"/>
    </xf>
    <xf numFmtId="41" fontId="5" fillId="6" borderId="7" xfId="0" applyNumberFormat="1" applyFont="1" applyFill="1" applyBorder="1" applyAlignment="1">
      <alignment vertical="top" wrapText="1"/>
    </xf>
    <xf numFmtId="41" fontId="5" fillId="7" borderId="7" xfId="0" applyNumberFormat="1" applyFont="1" applyFill="1" applyBorder="1" applyAlignment="1">
      <alignment vertical="top"/>
    </xf>
    <xf numFmtId="164" fontId="5" fillId="0" borderId="0" xfId="0" applyFont="1" applyAlignment="1">
      <alignment vertical="top"/>
    </xf>
    <xf numFmtId="3" fontId="3" fillId="2" borderId="0" xfId="0" applyNumberFormat="1" applyFont="1" applyFill="1" applyAlignment="1">
      <alignment vertical="top"/>
    </xf>
    <xf numFmtId="3" fontId="3" fillId="0" borderId="0" xfId="0" applyNumberFormat="1" applyFont="1" applyAlignment="1">
      <alignment vertical="top" wrapText="1"/>
    </xf>
    <xf numFmtId="41" fontId="9" fillId="2" borderId="0" xfId="3" applyNumberFormat="1" applyFont="1" applyFill="1" applyBorder="1" applyAlignment="1" applyProtection="1">
      <alignment horizontal="center" vertical="top"/>
      <protection locked="0"/>
    </xf>
    <xf numFmtId="5" fontId="0" fillId="3" borderId="0" xfId="0" applyNumberFormat="1" applyFill="1" applyAlignment="1">
      <alignment vertical="top"/>
    </xf>
    <xf numFmtId="5" fontId="0" fillId="2" borderId="0" xfId="0" applyNumberFormat="1" applyFill="1" applyAlignment="1">
      <alignment vertical="top"/>
    </xf>
    <xf numFmtId="5" fontId="0" fillId="4" borderId="0" xfId="0" applyNumberFormat="1" applyFill="1" applyAlignment="1">
      <alignment vertical="top"/>
    </xf>
    <xf numFmtId="0" fontId="0" fillId="0" borderId="0" xfId="0" applyNumberFormat="1" applyAlignment="1">
      <alignment vertical="top" wrapText="1"/>
    </xf>
    <xf numFmtId="37" fontId="0" fillId="0" borderId="0" xfId="0" applyNumberFormat="1" applyAlignment="1">
      <alignment vertical="top"/>
    </xf>
    <xf numFmtId="37" fontId="0" fillId="5" borderId="0" xfId="0" applyNumberFormat="1" applyFill="1" applyAlignment="1">
      <alignment vertical="top"/>
    </xf>
    <xf numFmtId="41" fontId="11" fillId="0" borderId="0" xfId="0" applyNumberFormat="1" applyFont="1" applyAlignment="1">
      <alignment horizontal="center" vertical="top"/>
    </xf>
    <xf numFmtId="41" fontId="11" fillId="0" borderId="0" xfId="0" applyNumberFormat="1" applyFont="1" applyAlignment="1">
      <alignment horizontal="center" vertical="top" wrapText="1"/>
    </xf>
    <xf numFmtId="41" fontId="11" fillId="2" borderId="0" xfId="0" applyNumberFormat="1" applyFont="1" applyFill="1" applyAlignment="1">
      <alignment horizontal="center" vertical="top"/>
    </xf>
    <xf numFmtId="0" fontId="11" fillId="0" borderId="0" xfId="0" applyNumberFormat="1" applyFont="1" applyAlignment="1">
      <alignment horizontal="center" vertical="top" wrapText="1"/>
    </xf>
    <xf numFmtId="0" fontId="10" fillId="0" borderId="0" xfId="0" applyNumberFormat="1" applyFont="1" applyAlignment="1">
      <alignment horizontal="center" vertical="top"/>
    </xf>
    <xf numFmtId="37" fontId="10" fillId="0" borderId="0" xfId="0" applyNumberFormat="1" applyFont="1" applyAlignment="1">
      <alignment vertical="top"/>
    </xf>
    <xf numFmtId="41" fontId="10" fillId="0" borderId="0" xfId="0" applyNumberFormat="1" applyFont="1" applyAlignment="1">
      <alignment vertical="top"/>
    </xf>
    <xf numFmtId="41" fontId="10" fillId="0" borderId="0" xfId="0" applyNumberFormat="1" applyFont="1" applyAlignment="1">
      <alignment vertical="top" wrapText="1"/>
    </xf>
    <xf numFmtId="41" fontId="10" fillId="2" borderId="0" xfId="0" applyNumberFormat="1" applyFont="1" applyFill="1" applyAlignment="1">
      <alignment vertical="top"/>
    </xf>
    <xf numFmtId="41" fontId="10" fillId="6" borderId="0" xfId="0" applyNumberFormat="1" applyFont="1" applyFill="1" applyAlignment="1">
      <alignment vertical="top"/>
    </xf>
    <xf numFmtId="0" fontId="10" fillId="6" borderId="0" xfId="0" applyNumberFormat="1" applyFont="1" applyFill="1" applyAlignment="1">
      <alignment vertical="top" wrapText="1"/>
    </xf>
    <xf numFmtId="37" fontId="10" fillId="7" borderId="0" xfId="0" applyNumberFormat="1" applyFont="1" applyFill="1" applyAlignment="1">
      <alignment vertical="top"/>
    </xf>
    <xf numFmtId="37" fontId="10" fillId="7" borderId="0" xfId="0" applyNumberFormat="1" applyFont="1" applyFill="1" applyAlignment="1">
      <alignment vertical="top" wrapText="1"/>
    </xf>
    <xf numFmtId="41" fontId="0" fillId="6" borderId="0" xfId="0" applyNumberFormat="1" applyFill="1" applyAlignment="1">
      <alignment vertical="top"/>
    </xf>
    <xf numFmtId="0" fontId="0" fillId="6" borderId="0" xfId="0" applyNumberFormat="1" applyFill="1" applyAlignment="1">
      <alignment vertical="top" wrapText="1"/>
    </xf>
    <xf numFmtId="37" fontId="0" fillId="7" borderId="0" xfId="0" applyNumberFormat="1" applyFill="1" applyAlignment="1">
      <alignment vertical="top"/>
    </xf>
    <xf numFmtId="37" fontId="0" fillId="7" borderId="0" xfId="0" applyNumberFormat="1" applyFill="1" applyAlignment="1">
      <alignment vertical="top" wrapText="1"/>
    </xf>
    <xf numFmtId="37" fontId="29" fillId="3" borderId="0" xfId="0" applyNumberFormat="1" applyFont="1" applyFill="1" applyAlignment="1">
      <alignment vertical="top" wrapText="1"/>
    </xf>
    <xf numFmtId="37" fontId="16" fillId="7" borderId="0" xfId="0" applyNumberFormat="1" applyFont="1" applyFill="1" applyAlignment="1">
      <alignment vertical="top" wrapText="1"/>
    </xf>
    <xf numFmtId="41" fontId="29" fillId="9" borderId="0" xfId="0" applyNumberFormat="1" applyFont="1" applyFill="1" applyAlignment="1">
      <alignment vertical="top" wrapText="1"/>
    </xf>
    <xf numFmtId="37" fontId="29" fillId="7" borderId="0" xfId="0" applyNumberFormat="1" applyFont="1" applyFill="1" applyAlignment="1">
      <alignment vertical="top" wrapText="1"/>
    </xf>
    <xf numFmtId="0" fontId="0" fillId="0" borderId="0" xfId="0" applyNumberFormat="1" applyAlignment="1">
      <alignment horizontal="left" vertical="top"/>
    </xf>
    <xf numFmtId="41" fontId="0" fillId="7" borderId="0" xfId="0" applyNumberFormat="1" applyFill="1" applyAlignment="1">
      <alignment vertical="top" wrapText="1"/>
    </xf>
    <xf numFmtId="166" fontId="0" fillId="0" borderId="0" xfId="0" applyNumberFormat="1" applyAlignment="1">
      <alignment vertical="top"/>
    </xf>
    <xf numFmtId="41" fontId="29" fillId="0" borderId="0" xfId="0" applyNumberFormat="1" applyFont="1" applyAlignment="1">
      <alignment vertical="top" wrapText="1"/>
    </xf>
    <xf numFmtId="43" fontId="0" fillId="0" borderId="0" xfId="0" applyNumberFormat="1" applyAlignment="1">
      <alignment vertical="top"/>
    </xf>
    <xf numFmtId="37" fontId="10" fillId="0" borderId="7" xfId="0" applyNumberFormat="1" applyFont="1" applyBorder="1" applyAlignment="1">
      <alignment vertical="top"/>
    </xf>
    <xf numFmtId="0" fontId="10" fillId="6" borderId="7" xfId="0" applyNumberFormat="1" applyFont="1" applyFill="1" applyBorder="1" applyAlignment="1">
      <alignment vertical="top" wrapText="1"/>
    </xf>
    <xf numFmtId="41" fontId="10" fillId="7" borderId="7" xfId="0" applyNumberFormat="1" applyFont="1" applyFill="1" applyBorder="1" applyAlignment="1">
      <alignment vertical="top" wrapText="1"/>
    </xf>
    <xf numFmtId="164" fontId="0" fillId="2" borderId="0" xfId="0" applyFill="1" applyAlignment="1">
      <alignment vertical="top"/>
    </xf>
    <xf numFmtId="0" fontId="19" fillId="6" borderId="0" xfId="0" applyNumberFormat="1" applyFont="1" applyFill="1" applyAlignment="1">
      <alignment vertical="top" wrapText="1"/>
    </xf>
    <xf numFmtId="3" fontId="0" fillId="0" borderId="0" xfId="0" applyNumberFormat="1"/>
    <xf numFmtId="3" fontId="0" fillId="0" borderId="0" xfId="0" applyNumberFormat="1" applyAlignment="1">
      <alignment wrapText="1"/>
    </xf>
    <xf numFmtId="3" fontId="0" fillId="2" borderId="0" xfId="0" applyNumberFormat="1" applyFill="1"/>
    <xf numFmtId="0" fontId="0" fillId="6" borderId="0" xfId="0" applyNumberFormat="1" applyFill="1" applyAlignment="1">
      <alignment wrapText="1"/>
    </xf>
    <xf numFmtId="0" fontId="10" fillId="0" borderId="0" xfId="0" applyNumberFormat="1" applyFont="1" applyAlignment="1">
      <alignment vertical="top"/>
    </xf>
    <xf numFmtId="0" fontId="10" fillId="2" borderId="0" xfId="0" applyNumberFormat="1" applyFont="1" applyFill="1" applyAlignment="1">
      <alignment vertical="top"/>
    </xf>
    <xf numFmtId="0" fontId="10" fillId="5" borderId="1" xfId="0" applyNumberFormat="1" applyFont="1" applyFill="1" applyBorder="1" applyAlignment="1">
      <alignment vertical="top"/>
    </xf>
    <xf numFmtId="0" fontId="10" fillId="0" borderId="1" xfId="0" applyNumberFormat="1" applyFont="1" applyBorder="1" applyAlignment="1">
      <alignment vertical="top"/>
    </xf>
    <xf numFmtId="41" fontId="5" fillId="0" borderId="0" xfId="0" applyNumberFormat="1" applyFont="1" applyAlignment="1">
      <alignment horizontal="center" vertical="top"/>
    </xf>
    <xf numFmtId="41" fontId="5" fillId="0" borderId="0" xfId="0" applyNumberFormat="1" applyFont="1" applyAlignment="1">
      <alignment horizontal="center" vertical="top" wrapText="1"/>
    </xf>
    <xf numFmtId="41" fontId="5" fillId="2" borderId="0" xfId="0" applyNumberFormat="1" applyFont="1" applyFill="1" applyAlignment="1">
      <alignment horizontal="center" vertical="top"/>
    </xf>
    <xf numFmtId="0" fontId="5" fillId="0" borderId="0" xfId="0" applyNumberFormat="1" applyFont="1" applyAlignment="1">
      <alignment horizontal="center" vertical="top" wrapText="1"/>
    </xf>
    <xf numFmtId="5" fontId="3" fillId="0" borderId="0" xfId="0" applyNumberFormat="1" applyFont="1" applyAlignment="1">
      <alignment vertical="top" wrapText="1"/>
    </xf>
    <xf numFmtId="5" fontId="3" fillId="0" borderId="0" xfId="0" applyNumberFormat="1" applyFont="1" applyAlignment="1">
      <alignment vertical="top"/>
    </xf>
    <xf numFmtId="5" fontId="5" fillId="0" borderId="0" xfId="0" applyNumberFormat="1" applyFont="1" applyAlignment="1">
      <alignment vertical="top" wrapText="1"/>
    </xf>
    <xf numFmtId="41" fontId="3" fillId="9" borderId="0" xfId="0" applyNumberFormat="1" applyFont="1" applyFill="1" applyAlignment="1" applyProtection="1">
      <alignment vertical="top" wrapText="1"/>
      <protection locked="0"/>
    </xf>
    <xf numFmtId="5" fontId="3" fillId="7" borderId="0" xfId="0" applyNumberFormat="1" applyFont="1" applyFill="1" applyAlignment="1">
      <alignment vertical="top"/>
    </xf>
    <xf numFmtId="41" fontId="3" fillId="3" borderId="0" xfId="0" applyNumberFormat="1" applyFont="1" applyFill="1" applyAlignment="1" applyProtection="1">
      <alignment vertical="top" wrapText="1"/>
      <protection locked="0"/>
    </xf>
    <xf numFmtId="166" fontId="3" fillId="0" borderId="0" xfId="0" applyNumberFormat="1" applyFont="1" applyAlignment="1" applyProtection="1">
      <alignment horizontal="right" vertical="top"/>
      <protection locked="0"/>
    </xf>
    <xf numFmtId="5" fontId="5" fillId="0" borderId="10" xfId="0" applyNumberFormat="1" applyFont="1" applyBorder="1" applyAlignment="1">
      <alignment vertical="top" wrapText="1"/>
    </xf>
    <xf numFmtId="41" fontId="5" fillId="0" borderId="10" xfId="0" applyNumberFormat="1" applyFont="1" applyBorder="1" applyAlignment="1">
      <alignment vertical="top"/>
    </xf>
    <xf numFmtId="41" fontId="5" fillId="2" borderId="10" xfId="0" applyNumberFormat="1" applyFont="1" applyFill="1" applyBorder="1" applyAlignment="1">
      <alignment vertical="top"/>
    </xf>
    <xf numFmtId="41" fontId="5" fillId="6" borderId="10" xfId="0" applyNumberFormat="1" applyFont="1" applyFill="1" applyBorder="1" applyAlignment="1">
      <alignment vertical="top"/>
    </xf>
    <xf numFmtId="0" fontId="5" fillId="6" borderId="10" xfId="0" applyNumberFormat="1" applyFont="1" applyFill="1" applyBorder="1" applyAlignment="1">
      <alignment vertical="top" wrapText="1"/>
    </xf>
    <xf numFmtId="41" fontId="0" fillId="7" borderId="10" xfId="0" applyNumberFormat="1" applyFill="1" applyBorder="1" applyAlignment="1">
      <alignment vertical="top"/>
    </xf>
    <xf numFmtId="5" fontId="0" fillId="7" borderId="10" xfId="0" applyNumberFormat="1" applyFill="1" applyBorder="1" applyAlignment="1">
      <alignment vertical="top"/>
    </xf>
    <xf numFmtId="5" fontId="5" fillId="0" borderId="0" xfId="0" applyNumberFormat="1" applyFont="1" applyAlignment="1">
      <alignment vertical="top"/>
    </xf>
    <xf numFmtId="0" fontId="5" fillId="6" borderId="10" xfId="0" applyNumberFormat="1" applyFont="1" applyFill="1" applyBorder="1" applyAlignment="1" applyProtection="1">
      <alignment vertical="top" wrapText="1"/>
      <protection locked="0"/>
    </xf>
    <xf numFmtId="37" fontId="0" fillId="0" borderId="0" xfId="0" applyNumberFormat="1" applyAlignment="1">
      <alignment horizontal="center" vertical="top"/>
    </xf>
    <xf numFmtId="37" fontId="0" fillId="0" borderId="0" xfId="0" applyNumberFormat="1" applyAlignment="1">
      <alignment horizontal="left" vertical="top"/>
    </xf>
    <xf numFmtId="0" fontId="3" fillId="0" borderId="0" xfId="0" applyNumberFormat="1" applyFont="1" applyAlignment="1">
      <alignment vertical="top" wrapText="1"/>
    </xf>
    <xf numFmtId="41" fontId="0" fillId="7" borderId="0" xfId="1" applyNumberFormat="1" applyFont="1" applyFill="1" applyAlignment="1">
      <alignment vertical="top"/>
    </xf>
    <xf numFmtId="166" fontId="0" fillId="7" borderId="0" xfId="1" applyNumberFormat="1" applyFont="1" applyFill="1" applyAlignment="1">
      <alignment vertical="top"/>
    </xf>
    <xf numFmtId="0" fontId="3" fillId="6" borderId="10" xfId="0" applyNumberFormat="1" applyFont="1" applyFill="1" applyBorder="1" applyAlignment="1">
      <alignment vertical="top" wrapText="1"/>
    </xf>
    <xf numFmtId="41" fontId="3" fillId="7" borderId="10" xfId="1" applyNumberFormat="1" applyFont="1" applyFill="1" applyBorder="1"/>
    <xf numFmtId="164" fontId="3" fillId="7" borderId="10" xfId="0" applyFont="1" applyFill="1" applyBorder="1"/>
    <xf numFmtId="164" fontId="5" fillId="0" borderId="10" xfId="0" applyFont="1" applyBorder="1" applyAlignment="1">
      <alignment vertical="top"/>
    </xf>
    <xf numFmtId="164" fontId="3" fillId="7" borderId="0" xfId="0" applyFont="1" applyFill="1"/>
    <xf numFmtId="3" fontId="5" fillId="0" borderId="0" xfId="0" applyNumberFormat="1" applyFont="1" applyAlignment="1">
      <alignment vertical="top"/>
    </xf>
    <xf numFmtId="41" fontId="10" fillId="7" borderId="0" xfId="0" applyNumberFormat="1" applyFont="1" applyFill="1" applyAlignment="1" applyProtection="1">
      <alignment vertical="top"/>
      <protection locked="0"/>
    </xf>
    <xf numFmtId="5" fontId="10" fillId="7" borderId="0" xfId="0" applyNumberFormat="1" applyFont="1" applyFill="1" applyAlignment="1">
      <alignment vertical="top"/>
    </xf>
    <xf numFmtId="3" fontId="5" fillId="0" borderId="10" xfId="0" applyNumberFormat="1" applyFont="1" applyBorder="1" applyAlignment="1">
      <alignment vertical="top"/>
    </xf>
    <xf numFmtId="166" fontId="5" fillId="0" borderId="10" xfId="0" applyNumberFormat="1" applyFont="1" applyBorder="1" applyAlignment="1">
      <alignment vertical="top"/>
    </xf>
    <xf numFmtId="166" fontId="5" fillId="2" borderId="10" xfId="0" applyNumberFormat="1" applyFont="1" applyFill="1" applyBorder="1" applyAlignment="1">
      <alignment vertical="top"/>
    </xf>
    <xf numFmtId="166" fontId="5" fillId="6" borderId="10" xfId="0" applyNumberFormat="1" applyFont="1" applyFill="1" applyBorder="1" applyAlignment="1">
      <alignment vertical="top"/>
    </xf>
    <xf numFmtId="0" fontId="3" fillId="6" borderId="0" xfId="0" applyNumberFormat="1" applyFont="1" applyFill="1" applyAlignment="1">
      <alignment vertical="top"/>
    </xf>
    <xf numFmtId="0" fontId="3" fillId="6" borderId="0" xfId="0" applyNumberFormat="1" applyFont="1" applyFill="1" applyAlignment="1" applyProtection="1">
      <alignment vertical="top"/>
      <protection locked="0"/>
    </xf>
    <xf numFmtId="0" fontId="3" fillId="6" borderId="10" xfId="0" applyNumberFormat="1" applyFont="1" applyFill="1" applyBorder="1" applyAlignment="1" applyProtection="1">
      <alignment vertical="top"/>
      <protection locked="0"/>
    </xf>
    <xf numFmtId="41" fontId="5" fillId="7" borderId="10" xfId="0" applyNumberFormat="1" applyFont="1" applyFill="1" applyBorder="1" applyAlignment="1">
      <alignment vertical="top"/>
    </xf>
    <xf numFmtId="5" fontId="5" fillId="0" borderId="10" xfId="0" applyNumberFormat="1" applyFont="1" applyBorder="1" applyAlignment="1">
      <alignment vertical="top"/>
    </xf>
    <xf numFmtId="0" fontId="3" fillId="0" borderId="0" xfId="0" applyNumberFormat="1" applyFont="1" applyAlignment="1" applyProtection="1">
      <alignment vertical="top" wrapText="1"/>
      <protection locked="0"/>
    </xf>
    <xf numFmtId="0" fontId="19" fillId="0" borderId="0" xfId="0" applyNumberFormat="1" applyFont="1" applyAlignment="1">
      <alignment vertical="top" wrapText="1"/>
    </xf>
    <xf numFmtId="41" fontId="9" fillId="2" borderId="1" xfId="3" applyNumberFormat="1" applyFont="1" applyFill="1" applyBorder="1" applyAlignment="1" applyProtection="1">
      <alignment horizontal="center" vertical="top"/>
      <protection locked="0"/>
    </xf>
    <xf numFmtId="0" fontId="5" fillId="0" borderId="0" xfId="0" applyNumberFormat="1" applyFont="1" applyAlignment="1">
      <alignment vertical="top"/>
    </xf>
    <xf numFmtId="0" fontId="5" fillId="2" borderId="0" xfId="0" applyNumberFormat="1" applyFont="1" applyFill="1" applyAlignment="1">
      <alignment vertical="top"/>
    </xf>
    <xf numFmtId="0" fontId="5" fillId="5" borderId="0" xfId="0" applyNumberFormat="1" applyFont="1" applyFill="1" applyAlignment="1">
      <alignment vertical="top"/>
    </xf>
    <xf numFmtId="0" fontId="3" fillId="0" borderId="0" xfId="0" applyNumberFormat="1" applyFont="1" applyAlignment="1">
      <alignment horizontal="center" vertical="top" wrapText="1"/>
    </xf>
    <xf numFmtId="3" fontId="11" fillId="7" borderId="11" xfId="0" applyNumberFormat="1" applyFont="1" applyFill="1" applyBorder="1" applyAlignment="1">
      <alignment horizontal="center" vertical="center" wrapText="1"/>
    </xf>
    <xf numFmtId="41" fontId="5" fillId="0" borderId="0" xfId="0" applyNumberFormat="1" applyFont="1" applyAlignment="1" applyProtection="1">
      <alignment vertical="top"/>
      <protection locked="0"/>
    </xf>
    <xf numFmtId="41" fontId="5" fillId="2" borderId="0" xfId="0" applyNumberFormat="1" applyFont="1" applyFill="1" applyAlignment="1" applyProtection="1">
      <alignment vertical="top"/>
      <protection locked="0"/>
    </xf>
    <xf numFmtId="41" fontId="5" fillId="6" borderId="0" xfId="0" applyNumberFormat="1" applyFont="1" applyFill="1" applyAlignment="1" applyProtection="1">
      <alignment vertical="top"/>
      <protection locked="0"/>
    </xf>
    <xf numFmtId="0" fontId="5" fillId="6" borderId="0" xfId="0" applyNumberFormat="1" applyFont="1" applyFill="1" applyAlignment="1" applyProtection="1">
      <alignment vertical="top" wrapText="1"/>
      <protection locked="0"/>
    </xf>
    <xf numFmtId="164" fontId="5" fillId="7" borderId="0" xfId="0" applyFont="1" applyFill="1" applyAlignment="1">
      <alignment vertical="top"/>
    </xf>
    <xf numFmtId="166" fontId="3" fillId="7" borderId="0" xfId="0" applyNumberFormat="1" applyFont="1" applyFill="1" applyAlignment="1">
      <alignment vertical="top"/>
    </xf>
    <xf numFmtId="41" fontId="3" fillId="7" borderId="5" xfId="0" applyNumberFormat="1" applyFont="1" applyFill="1" applyBorder="1" applyAlignment="1" applyProtection="1">
      <alignment vertical="top"/>
      <protection locked="0"/>
    </xf>
    <xf numFmtId="0" fontId="5" fillId="0" borderId="6" xfId="0" applyNumberFormat="1" applyFont="1" applyBorder="1" applyAlignment="1">
      <alignment horizontal="center" vertical="top" wrapText="1"/>
    </xf>
    <xf numFmtId="5" fontId="5" fillId="0" borderId="6" xfId="0" applyNumberFormat="1" applyFont="1" applyBorder="1" applyAlignment="1">
      <alignment vertical="top" wrapText="1"/>
    </xf>
    <xf numFmtId="0" fontId="5" fillId="6" borderId="6" xfId="0" applyNumberFormat="1" applyFont="1" applyFill="1" applyBorder="1" applyAlignment="1">
      <alignment vertical="top" wrapText="1"/>
    </xf>
    <xf numFmtId="0" fontId="30" fillId="0" borderId="0" xfId="0" applyNumberFormat="1" applyFont="1" applyAlignment="1">
      <alignment horizontal="center" vertical="top" wrapText="1"/>
    </xf>
    <xf numFmtId="49" fontId="30" fillId="0" borderId="0" xfId="0" applyNumberFormat="1" applyFont="1" applyAlignment="1">
      <alignment vertical="top" wrapText="1"/>
    </xf>
    <xf numFmtId="0" fontId="5" fillId="6" borderId="0" xfId="0" applyNumberFormat="1" applyFont="1" applyFill="1" applyAlignment="1">
      <alignment vertical="top" wrapText="1"/>
    </xf>
    <xf numFmtId="164" fontId="3" fillId="4" borderId="0" xfId="0" applyFont="1" applyFill="1" applyAlignment="1">
      <alignment vertical="top"/>
    </xf>
    <xf numFmtId="166" fontId="5" fillId="0" borderId="6" xfId="1" applyNumberFormat="1" applyFont="1" applyFill="1" applyBorder="1" applyAlignment="1">
      <alignment vertical="top"/>
    </xf>
    <xf numFmtId="0" fontId="31" fillId="6" borderId="0" xfId="0" applyNumberFormat="1" applyFont="1" applyFill="1" applyAlignment="1">
      <alignment vertical="top" wrapText="1"/>
    </xf>
    <xf numFmtId="0" fontId="32" fillId="6" borderId="6" xfId="0" applyNumberFormat="1" applyFont="1" applyFill="1" applyBorder="1" applyAlignment="1">
      <alignment vertical="top" wrapText="1"/>
    </xf>
    <xf numFmtId="0" fontId="20" fillId="0" borderId="0" xfId="0" applyNumberFormat="1" applyFont="1" applyAlignment="1">
      <alignment horizontal="center" vertical="top" wrapText="1"/>
    </xf>
    <xf numFmtId="49" fontId="20" fillId="0" borderId="0" xfId="0" applyNumberFormat="1" applyFont="1" applyAlignment="1">
      <alignment horizontal="left" vertical="top" wrapText="1"/>
    </xf>
    <xf numFmtId="41" fontId="3" fillId="0" borderId="5" xfId="0" applyNumberFormat="1" applyFont="1" applyBorder="1" applyAlignment="1" applyProtection="1">
      <alignment vertical="top" wrapText="1"/>
      <protection locked="0"/>
    </xf>
    <xf numFmtId="0" fontId="21" fillId="6" borderId="0" xfId="0" applyNumberFormat="1" applyFont="1" applyFill="1" applyAlignment="1" applyProtection="1">
      <alignment vertical="top" wrapText="1"/>
      <protection locked="0"/>
    </xf>
    <xf numFmtId="41" fontId="5" fillId="7" borderId="0" xfId="0" applyNumberFormat="1" applyFont="1" applyFill="1" applyAlignment="1" applyProtection="1">
      <alignment vertical="top"/>
      <protection locked="0"/>
    </xf>
    <xf numFmtId="0" fontId="5" fillId="6" borderId="6" xfId="0" applyNumberFormat="1" applyFont="1" applyFill="1" applyBorder="1" applyAlignment="1" applyProtection="1">
      <alignment vertical="top" wrapText="1"/>
      <protection locked="0"/>
    </xf>
    <xf numFmtId="37" fontId="3" fillId="2" borderId="0" xfId="0" applyNumberFormat="1" applyFont="1" applyFill="1" applyAlignment="1">
      <alignment vertical="top"/>
    </xf>
    <xf numFmtId="0" fontId="5" fillId="0" borderId="10" xfId="0" applyNumberFormat="1" applyFont="1" applyBorder="1" applyAlignment="1">
      <alignment horizontal="center" vertical="top" wrapText="1"/>
    </xf>
    <xf numFmtId="43" fontId="5" fillId="0" borderId="0" xfId="0" applyNumberFormat="1" applyFont="1" applyAlignment="1">
      <alignment vertical="top"/>
    </xf>
    <xf numFmtId="166" fontId="3" fillId="0" borderId="0" xfId="0" applyNumberFormat="1" applyFont="1" applyAlignment="1">
      <alignment vertical="top" wrapText="1"/>
    </xf>
    <xf numFmtId="166" fontId="3" fillId="2" borderId="0" xfId="0" applyNumberFormat="1" applyFont="1" applyFill="1" applyAlignment="1">
      <alignment vertical="top"/>
    </xf>
    <xf numFmtId="166" fontId="3" fillId="6" borderId="0" xfId="0" applyNumberFormat="1" applyFont="1" applyFill="1" applyAlignment="1">
      <alignment vertical="top"/>
    </xf>
    <xf numFmtId="41" fontId="3" fillId="7" borderId="0" xfId="0" applyNumberFormat="1" applyFont="1" applyFill="1" applyAlignment="1">
      <alignment vertical="top"/>
    </xf>
    <xf numFmtId="164" fontId="31" fillId="7" borderId="0" xfId="0" applyFont="1" applyFill="1" applyAlignment="1">
      <alignment wrapText="1"/>
    </xf>
    <xf numFmtId="164" fontId="3" fillId="7" borderId="0" xfId="0" applyFont="1" applyFill="1" applyAlignment="1">
      <alignment horizontal="left" vertical="top" wrapText="1"/>
    </xf>
    <xf numFmtId="164" fontId="33" fillId="3" borderId="0" xfId="0" applyFont="1" applyFill="1" applyAlignment="1">
      <alignment horizontal="left" vertical="top" wrapText="1"/>
    </xf>
    <xf numFmtId="164" fontId="33" fillId="0" borderId="0" xfId="0" applyFont="1" applyAlignment="1">
      <alignment horizontal="left" vertical="top" wrapText="1"/>
    </xf>
    <xf numFmtId="6" fontId="3" fillId="0" borderId="0" xfId="0" applyNumberFormat="1" applyFont="1" applyAlignment="1">
      <alignment vertical="top"/>
    </xf>
    <xf numFmtId="164" fontId="3" fillId="7" borderId="0" xfId="0" applyFont="1" applyFill="1" applyAlignment="1">
      <alignment vertical="top" wrapText="1"/>
    </xf>
    <xf numFmtId="0" fontId="3" fillId="7" borderId="0" xfId="0" applyNumberFormat="1" applyFont="1" applyFill="1" applyAlignment="1">
      <alignment vertical="top" wrapText="1"/>
    </xf>
    <xf numFmtId="166" fontId="5" fillId="7" borderId="10" xfId="1" applyNumberFormat="1" applyFont="1" applyFill="1" applyBorder="1" applyAlignment="1">
      <alignment vertical="top"/>
    </xf>
    <xf numFmtId="0" fontId="3" fillId="0" borderId="6" xfId="0" applyNumberFormat="1" applyFont="1" applyBorder="1" applyAlignment="1">
      <alignment horizontal="center" vertical="top"/>
    </xf>
    <xf numFmtId="37" fontId="3" fillId="0" borderId="6" xfId="0" applyNumberFormat="1" applyFont="1" applyBorder="1" applyAlignment="1">
      <alignment vertical="top"/>
    </xf>
    <xf numFmtId="0" fontId="3" fillId="6" borderId="6" xfId="0" applyNumberFormat="1" applyFont="1" applyFill="1" applyBorder="1" applyAlignment="1" applyProtection="1">
      <alignment vertical="top" wrapText="1"/>
      <protection locked="0"/>
    </xf>
    <xf numFmtId="41" fontId="3" fillId="7" borderId="6" xfId="0" applyNumberFormat="1" applyFont="1" applyFill="1" applyBorder="1" applyAlignment="1" applyProtection="1">
      <alignment vertical="top"/>
      <protection locked="0"/>
    </xf>
    <xf numFmtId="43" fontId="3" fillId="7" borderId="6" xfId="1" applyFont="1" applyFill="1" applyBorder="1" applyAlignment="1">
      <alignment vertical="top"/>
    </xf>
    <xf numFmtId="41" fontId="3" fillId="0" borderId="6" xfId="0" applyNumberFormat="1" applyFont="1" applyBorder="1" applyAlignment="1">
      <alignment vertical="top"/>
    </xf>
    <xf numFmtId="41" fontId="3" fillId="2" borderId="6" xfId="0" applyNumberFormat="1" applyFont="1" applyFill="1" applyBorder="1" applyAlignment="1">
      <alignment vertical="top"/>
    </xf>
    <xf numFmtId="41" fontId="3" fillId="6" borderId="6" xfId="0" applyNumberFormat="1" applyFont="1" applyFill="1" applyBorder="1" applyAlignment="1">
      <alignment vertical="top"/>
    </xf>
    <xf numFmtId="0" fontId="3" fillId="6" borderId="6" xfId="0" applyNumberFormat="1" applyFont="1" applyFill="1" applyBorder="1" applyAlignment="1">
      <alignment vertical="top" wrapText="1"/>
    </xf>
    <xf numFmtId="41" fontId="3" fillId="7" borderId="6" xfId="0" applyNumberFormat="1" applyFont="1" applyFill="1" applyBorder="1" applyAlignment="1">
      <alignment vertical="top"/>
    </xf>
    <xf numFmtId="41" fontId="3" fillId="10" borderId="0" xfId="0" applyNumberFormat="1" applyFont="1" applyFill="1" applyAlignment="1" applyProtection="1">
      <alignment vertical="top"/>
      <protection locked="0"/>
    </xf>
    <xf numFmtId="164" fontId="3" fillId="6" borderId="0" xfId="0" applyFont="1" applyFill="1" applyAlignment="1">
      <alignment vertical="top"/>
    </xf>
    <xf numFmtId="166" fontId="3" fillId="0" borderId="6" xfId="0" applyNumberFormat="1" applyFont="1" applyBorder="1" applyAlignment="1" applyProtection="1">
      <alignment vertical="top"/>
      <protection locked="0"/>
    </xf>
    <xf numFmtId="166" fontId="3" fillId="0" borderId="6" xfId="0" applyNumberFormat="1" applyFont="1" applyBorder="1" applyAlignment="1" applyProtection="1">
      <alignment vertical="top" wrapText="1"/>
      <protection locked="0"/>
    </xf>
    <xf numFmtId="166" fontId="3" fillId="2" borderId="6" xfId="0" applyNumberFormat="1" applyFont="1" applyFill="1" applyBorder="1" applyAlignment="1" applyProtection="1">
      <alignment vertical="top"/>
      <protection locked="0"/>
    </xf>
    <xf numFmtId="166" fontId="3" fillId="6" borderId="6" xfId="0" applyNumberFormat="1" applyFont="1" applyFill="1" applyBorder="1" applyAlignment="1" applyProtection="1">
      <alignment vertical="top"/>
      <protection locked="0"/>
    </xf>
    <xf numFmtId="166" fontId="3" fillId="7" borderId="6" xfId="0" applyNumberFormat="1" applyFont="1" applyFill="1" applyBorder="1" applyAlignment="1" applyProtection="1">
      <alignment vertical="top"/>
      <protection locked="0"/>
    </xf>
    <xf numFmtId="43" fontId="5" fillId="0" borderId="10" xfId="0" applyNumberFormat="1" applyFont="1" applyBorder="1" applyAlignment="1">
      <alignment vertical="top"/>
    </xf>
    <xf numFmtId="166" fontId="5" fillId="0" borderId="10" xfId="0" applyNumberFormat="1" applyFont="1" applyBorder="1" applyAlignment="1">
      <alignment vertical="top" wrapText="1"/>
    </xf>
    <xf numFmtId="166" fontId="5" fillId="7" borderId="10" xfId="0" applyNumberFormat="1" applyFont="1" applyFill="1" applyBorder="1" applyAlignment="1">
      <alignment vertical="top"/>
    </xf>
    <xf numFmtId="41" fontId="5" fillId="2" borderId="0" xfId="0" applyNumberFormat="1" applyFont="1" applyFill="1" applyAlignment="1">
      <alignment vertical="top"/>
    </xf>
    <xf numFmtId="41" fontId="5" fillId="0" borderId="0" xfId="0" applyNumberFormat="1" applyFont="1" applyAlignment="1">
      <alignment vertical="top"/>
    </xf>
    <xf numFmtId="0" fontId="5" fillId="0" borderId="0" xfId="0" applyNumberFormat="1" applyFont="1" applyAlignment="1">
      <alignment vertical="top" wrapText="1"/>
    </xf>
    <xf numFmtId="164" fontId="3" fillId="2" borderId="0" xfId="0" applyFont="1" applyFill="1" applyAlignment="1">
      <alignment vertical="top"/>
    </xf>
    <xf numFmtId="164" fontId="5" fillId="5" borderId="0" xfId="0" applyFont="1" applyFill="1" applyAlignment="1">
      <alignment vertical="top"/>
    </xf>
    <xf numFmtId="0" fontId="10" fillId="6" borderId="11" xfId="0" applyNumberFormat="1" applyFont="1" applyFill="1" applyBorder="1" applyAlignment="1" applyProtection="1">
      <alignment horizontal="center" vertical="center" wrapText="1"/>
      <protection locked="0"/>
    </xf>
    <xf numFmtId="0" fontId="10" fillId="2" borderId="11" xfId="0" applyNumberFormat="1" applyFont="1" applyFill="1" applyBorder="1" applyAlignment="1" applyProtection="1">
      <alignment horizontal="center" vertical="center" wrapText="1"/>
      <protection locked="0"/>
    </xf>
    <xf numFmtId="0" fontId="10" fillId="8" borderId="11" xfId="0" applyNumberFormat="1" applyFont="1" applyFill="1" applyBorder="1" applyAlignment="1" applyProtection="1">
      <alignment horizontal="center" vertical="center" wrapText="1"/>
      <protection locked="0"/>
    </xf>
    <xf numFmtId="41" fontId="3" fillId="3" borderId="0" xfId="0" applyNumberFormat="1" applyFont="1" applyFill="1" applyAlignment="1" applyProtection="1">
      <alignment vertical="top"/>
      <protection locked="0"/>
    </xf>
    <xf numFmtId="41" fontId="3" fillId="7" borderId="0" xfId="0" applyNumberFormat="1" applyFont="1" applyFill="1" applyAlignment="1">
      <alignment vertical="top" wrapText="1"/>
    </xf>
    <xf numFmtId="164" fontId="31" fillId="0" borderId="0" xfId="0" applyFont="1" applyAlignment="1">
      <alignment wrapText="1"/>
    </xf>
    <xf numFmtId="37" fontId="3" fillId="0" borderId="0" xfId="0" applyNumberFormat="1" applyFont="1" applyAlignment="1">
      <alignment horizontal="right" vertical="top"/>
    </xf>
    <xf numFmtId="41" fontId="3" fillId="3" borderId="0" xfId="0" applyNumberFormat="1" applyFont="1" applyFill="1" applyAlignment="1">
      <alignment vertical="top"/>
    </xf>
    <xf numFmtId="37" fontId="21" fillId="0" borderId="0" xfId="0" applyNumberFormat="1" applyFont="1" applyAlignment="1">
      <alignment vertical="top"/>
    </xf>
    <xf numFmtId="41" fontId="5" fillId="7" borderId="6" xfId="0" applyNumberFormat="1" applyFont="1" applyFill="1" applyBorder="1" applyAlignment="1" applyProtection="1">
      <alignment vertical="top" wrapText="1"/>
      <protection locked="0"/>
    </xf>
    <xf numFmtId="37" fontId="3" fillId="0" borderId="10" xfId="0" applyNumberFormat="1" applyFont="1" applyBorder="1" applyAlignment="1">
      <alignment vertical="top"/>
    </xf>
    <xf numFmtId="41" fontId="3" fillId="0" borderId="10" xfId="0" applyNumberFormat="1" applyFont="1" applyBorder="1" applyAlignment="1" applyProtection="1">
      <alignment vertical="top"/>
      <protection locked="0"/>
    </xf>
    <xf numFmtId="41" fontId="3" fillId="2" borderId="10" xfId="0" applyNumberFormat="1" applyFont="1" applyFill="1" applyBorder="1" applyAlignment="1" applyProtection="1">
      <alignment vertical="top"/>
      <protection locked="0"/>
    </xf>
    <xf numFmtId="41" fontId="3" fillId="6" borderId="10" xfId="0" applyNumberFormat="1" applyFont="1" applyFill="1" applyBorder="1" applyAlignment="1" applyProtection="1">
      <alignment vertical="top"/>
      <protection locked="0"/>
    </xf>
    <xf numFmtId="0" fontId="3" fillId="6" borderId="10" xfId="0" applyNumberFormat="1" applyFont="1" applyFill="1" applyBorder="1" applyAlignment="1" applyProtection="1">
      <alignment vertical="top" wrapText="1"/>
      <protection locked="0"/>
    </xf>
    <xf numFmtId="41" fontId="3" fillId="7" borderId="10" xfId="0" applyNumberFormat="1" applyFont="1" applyFill="1" applyBorder="1" applyAlignment="1" applyProtection="1">
      <alignment vertical="top"/>
      <protection locked="0"/>
    </xf>
    <xf numFmtId="41" fontId="3" fillId="7" borderId="10" xfId="0" applyNumberFormat="1" applyFont="1" applyFill="1" applyBorder="1" applyAlignment="1" applyProtection="1">
      <alignment vertical="top" wrapText="1"/>
      <protection locked="0"/>
    </xf>
    <xf numFmtId="3" fontId="23" fillId="0" borderId="0" xfId="0" applyNumberFormat="1" applyFont="1" applyAlignment="1">
      <alignment vertical="top"/>
    </xf>
    <xf numFmtId="0" fontId="3" fillId="6" borderId="0" xfId="0" applyNumberFormat="1" applyFont="1" applyFill="1" applyAlignment="1">
      <alignment horizontal="left" vertical="top" wrapText="1"/>
    </xf>
    <xf numFmtId="3" fontId="3" fillId="0" borderId="0" xfId="0" applyNumberFormat="1" applyFont="1" applyAlignment="1">
      <alignment horizontal="right" vertical="top"/>
    </xf>
    <xf numFmtId="0" fontId="3" fillId="6" borderId="0" xfId="0" applyNumberFormat="1" applyFont="1" applyFill="1" applyAlignment="1">
      <alignment horizontal="left" vertical="center" wrapText="1"/>
    </xf>
    <xf numFmtId="3" fontId="23" fillId="11" borderId="0" xfId="0" applyNumberFormat="1" applyFont="1" applyFill="1" applyAlignment="1">
      <alignment vertical="top"/>
    </xf>
    <xf numFmtId="41" fontId="3" fillId="6" borderId="0" xfId="0" applyNumberFormat="1" applyFont="1" applyFill="1" applyAlignment="1">
      <alignment horizontal="right" vertical="top"/>
    </xf>
    <xf numFmtId="41" fontId="3" fillId="12" borderId="0" xfId="0" applyNumberFormat="1" applyFont="1" applyFill="1" applyAlignment="1">
      <alignment vertical="top"/>
    </xf>
    <xf numFmtId="41" fontId="5" fillId="3" borderId="10" xfId="0" applyNumberFormat="1" applyFont="1" applyFill="1" applyBorder="1" applyAlignment="1">
      <alignment vertical="top" wrapText="1"/>
    </xf>
    <xf numFmtId="0" fontId="34" fillId="6" borderId="0" xfId="0" applyNumberFormat="1" applyFont="1" applyFill="1" applyAlignment="1">
      <alignment vertical="top" wrapText="1"/>
    </xf>
    <xf numFmtId="164" fontId="5" fillId="6" borderId="10" xfId="0" applyFont="1" applyFill="1" applyBorder="1" applyAlignment="1">
      <alignment vertical="top"/>
    </xf>
    <xf numFmtId="0" fontId="3" fillId="0" borderId="0" xfId="0" applyNumberFormat="1" applyFont="1" applyAlignment="1">
      <alignment vertical="center"/>
    </xf>
    <xf numFmtId="164" fontId="3" fillId="0" borderId="0" xfId="0" applyFont="1" applyAlignment="1">
      <alignment vertical="center"/>
    </xf>
    <xf numFmtId="0" fontId="5" fillId="6" borderId="7" xfId="0" applyNumberFormat="1" applyFont="1" applyFill="1" applyBorder="1" applyAlignment="1" applyProtection="1">
      <alignment vertical="top" wrapText="1"/>
      <protection locked="0"/>
    </xf>
    <xf numFmtId="41" fontId="5" fillId="7" borderId="7" xfId="0" applyNumberFormat="1" applyFont="1" applyFill="1" applyBorder="1" applyAlignment="1" applyProtection="1">
      <alignment vertical="top" wrapText="1"/>
      <protection locked="0"/>
    </xf>
    <xf numFmtId="164" fontId="5" fillId="0" borderId="7" xfId="0" applyFont="1" applyBorder="1" applyAlignment="1">
      <alignment vertical="top"/>
    </xf>
    <xf numFmtId="0" fontId="5" fillId="0" borderId="0" xfId="0" applyNumberFormat="1" applyFont="1" applyAlignment="1" applyProtection="1">
      <alignment vertical="top" wrapText="1"/>
      <protection locked="0"/>
    </xf>
    <xf numFmtId="164" fontId="5" fillId="0" borderId="0" xfId="0" applyFont="1" applyAlignment="1">
      <alignment vertical="top" wrapText="1"/>
    </xf>
    <xf numFmtId="5" fontId="0" fillId="2" borderId="0" xfId="0" applyNumberFormat="1" applyFill="1" applyAlignment="1">
      <alignment vertical="top" wrapText="1"/>
    </xf>
    <xf numFmtId="37" fontId="10" fillId="0" borderId="0" xfId="0" applyNumberFormat="1" applyFont="1" applyAlignment="1">
      <alignment horizontal="left" vertical="top"/>
    </xf>
    <xf numFmtId="41" fontId="10" fillId="0" borderId="0" xfId="0" applyNumberFormat="1" applyFont="1" applyAlignment="1">
      <alignment horizontal="left" vertical="top"/>
    </xf>
    <xf numFmtId="41" fontId="10" fillId="2" borderId="0" xfId="0" applyNumberFormat="1" applyFont="1" applyFill="1" applyAlignment="1">
      <alignment horizontal="left" vertical="top"/>
    </xf>
    <xf numFmtId="37" fontId="10" fillId="5" borderId="0" xfId="0" applyNumberFormat="1" applyFont="1" applyFill="1" applyAlignment="1">
      <alignment horizontal="left" vertical="top"/>
    </xf>
    <xf numFmtId="3" fontId="0" fillId="0" borderId="0" xfId="0" applyNumberFormat="1" applyAlignment="1">
      <alignment horizontal="center" vertical="top"/>
    </xf>
    <xf numFmtId="166" fontId="11" fillId="7" borderId="11" xfId="1" applyNumberFormat="1" applyFont="1" applyFill="1" applyBorder="1" applyAlignment="1" applyProtection="1">
      <alignment horizontal="center" vertical="center" wrapText="1"/>
      <protection locked="0"/>
    </xf>
    <xf numFmtId="37" fontId="10" fillId="0" borderId="0" xfId="0" applyNumberFormat="1" applyFont="1" applyAlignment="1">
      <alignment horizontal="center" vertical="top"/>
    </xf>
    <xf numFmtId="37" fontId="0" fillId="0" borderId="0" xfId="0" applyNumberFormat="1" applyAlignment="1">
      <alignment horizontal="left" vertical="top" wrapText="1"/>
    </xf>
    <xf numFmtId="41" fontId="0" fillId="3" borderId="0" xfId="0" applyNumberFormat="1" applyFill="1" applyAlignment="1">
      <alignment vertical="top"/>
    </xf>
    <xf numFmtId="9" fontId="0" fillId="6" borderId="0" xfId="2" applyFont="1" applyFill="1" applyBorder="1" applyAlignment="1">
      <alignment vertical="top" wrapText="1"/>
    </xf>
    <xf numFmtId="37" fontId="0" fillId="0" borderId="0" xfId="0" quotePrefix="1" applyNumberFormat="1" applyAlignment="1">
      <alignment horizontal="center" vertical="top"/>
    </xf>
    <xf numFmtId="0" fontId="0" fillId="6" borderId="0" xfId="0" applyNumberFormat="1" applyFill="1" applyAlignment="1" applyProtection="1">
      <alignment vertical="top" wrapText="1"/>
      <protection locked="0"/>
    </xf>
    <xf numFmtId="37" fontId="0" fillId="0" borderId="0" xfId="0" quotePrefix="1" applyNumberFormat="1" applyAlignment="1">
      <alignment horizontal="center" vertical="top" wrapText="1"/>
    </xf>
    <xf numFmtId="0" fontId="35" fillId="6" borderId="0" xfId="0" applyNumberFormat="1" applyFont="1" applyFill="1" applyAlignment="1" applyProtection="1">
      <alignment vertical="top" wrapText="1"/>
      <protection locked="0"/>
    </xf>
    <xf numFmtId="41" fontId="0" fillId="3" borderId="0" xfId="0" applyNumberFormat="1" applyFill="1" applyAlignment="1" applyProtection="1">
      <alignment vertical="top"/>
      <protection locked="0"/>
    </xf>
    <xf numFmtId="166" fontId="0" fillId="0" borderId="0" xfId="0" applyNumberFormat="1" applyAlignment="1">
      <alignment vertical="top" wrapText="1"/>
    </xf>
    <xf numFmtId="166" fontId="0" fillId="3" borderId="0" xfId="0" applyNumberFormat="1" applyFill="1" applyAlignment="1">
      <alignment vertical="top"/>
    </xf>
    <xf numFmtId="37" fontId="10" fillId="0" borderId="10" xfId="0" applyNumberFormat="1" applyFont="1" applyBorder="1" applyAlignment="1">
      <alignment horizontal="center" vertical="top"/>
    </xf>
    <xf numFmtId="164" fontId="10" fillId="0" borderId="10" xfId="0" applyFont="1" applyBorder="1" applyAlignment="1">
      <alignment vertical="top"/>
    </xf>
    <xf numFmtId="0" fontId="10" fillId="6" borderId="10" xfId="0" applyNumberFormat="1" applyFont="1" applyFill="1" applyBorder="1" applyAlignment="1" applyProtection="1">
      <alignment vertical="top" wrapText="1"/>
      <protection locked="0"/>
    </xf>
    <xf numFmtId="37" fontId="10" fillId="0" borderId="10" xfId="0" applyNumberFormat="1" applyFont="1" applyBorder="1" applyAlignment="1">
      <alignment vertical="top"/>
    </xf>
    <xf numFmtId="3" fontId="0" fillId="6" borderId="0" xfId="0" applyNumberFormat="1" applyFill="1" applyAlignment="1">
      <alignment vertical="top"/>
    </xf>
    <xf numFmtId="37" fontId="0" fillId="2" borderId="0" xfId="0" applyNumberFormat="1" applyFill="1" applyAlignment="1">
      <alignment vertical="top"/>
    </xf>
    <xf numFmtId="37" fontId="0" fillId="6" borderId="0" xfId="0" applyNumberFormat="1" applyFill="1" applyAlignment="1">
      <alignment vertical="top"/>
    </xf>
    <xf numFmtId="41" fontId="0" fillId="7" borderId="0" xfId="0" applyNumberFormat="1" applyFill="1" applyAlignment="1" applyProtection="1">
      <alignment vertical="top" wrapText="1"/>
      <protection locked="0"/>
    </xf>
    <xf numFmtId="41" fontId="10" fillId="0" borderId="10" xfId="0" applyNumberFormat="1" applyFont="1" applyBorder="1" applyAlignment="1">
      <alignment vertical="top"/>
    </xf>
    <xf numFmtId="41" fontId="10" fillId="6" borderId="10" xfId="0" applyNumberFormat="1" applyFont="1" applyFill="1" applyBorder="1" applyAlignment="1">
      <alignment vertical="top"/>
    </xf>
    <xf numFmtId="0" fontId="10" fillId="6" borderId="10" xfId="0" applyNumberFormat="1" applyFont="1" applyFill="1" applyBorder="1" applyAlignment="1">
      <alignment vertical="top" wrapText="1"/>
    </xf>
    <xf numFmtId="41" fontId="10" fillId="2" borderId="10" xfId="0" applyNumberFormat="1" applyFont="1" applyFill="1" applyBorder="1" applyAlignment="1">
      <alignment vertical="top"/>
    </xf>
    <xf numFmtId="41" fontId="10" fillId="7" borderId="10" xfId="0" applyNumberFormat="1" applyFont="1" applyFill="1" applyBorder="1" applyAlignment="1">
      <alignment vertical="top"/>
    </xf>
    <xf numFmtId="37" fontId="10" fillId="0" borderId="7" xfId="0" applyNumberFormat="1" applyFont="1" applyBorder="1" applyAlignment="1">
      <alignment horizontal="center" vertical="top"/>
    </xf>
    <xf numFmtId="41" fontId="10" fillId="0" borderId="7" xfId="0" applyNumberFormat="1" applyFont="1" applyBorder="1" applyAlignment="1" applyProtection="1">
      <alignment vertical="top"/>
      <protection locked="0"/>
    </xf>
    <xf numFmtId="41" fontId="10" fillId="0" borderId="7" xfId="0" applyNumberFormat="1" applyFont="1" applyBorder="1" applyAlignment="1" applyProtection="1">
      <alignment vertical="top" wrapText="1"/>
      <protection locked="0"/>
    </xf>
    <xf numFmtId="41" fontId="10" fillId="2" borderId="7" xfId="0" applyNumberFormat="1" applyFont="1" applyFill="1" applyBorder="1" applyAlignment="1" applyProtection="1">
      <alignment vertical="top"/>
      <protection locked="0"/>
    </xf>
    <xf numFmtId="41" fontId="10" fillId="6" borderId="7" xfId="0" applyNumberFormat="1" applyFont="1" applyFill="1" applyBorder="1" applyAlignment="1" applyProtection="1">
      <alignment vertical="top"/>
      <protection locked="0"/>
    </xf>
    <xf numFmtId="41" fontId="10" fillId="7" borderId="7" xfId="0" applyNumberFormat="1" applyFont="1" applyFill="1" applyBorder="1" applyAlignment="1" applyProtection="1">
      <alignment vertical="top"/>
      <protection locked="0"/>
    </xf>
    <xf numFmtId="41" fontId="10" fillId="0" borderId="0" xfId="0" applyNumberFormat="1" applyFont="1" applyAlignment="1" applyProtection="1">
      <alignment vertical="top"/>
      <protection locked="0"/>
    </xf>
    <xf numFmtId="41" fontId="10" fillId="0" borderId="0" xfId="0" applyNumberFormat="1" applyFont="1" applyAlignment="1" applyProtection="1">
      <alignment vertical="top" wrapText="1"/>
      <protection locked="0"/>
    </xf>
    <xf numFmtId="41" fontId="10" fillId="2" borderId="0" xfId="0" applyNumberFormat="1" applyFont="1" applyFill="1" applyAlignment="1" applyProtection="1">
      <alignment vertical="top"/>
      <protection locked="0"/>
    </xf>
    <xf numFmtId="0" fontId="10" fillId="0" borderId="0" xfId="0" applyNumberFormat="1" applyFont="1" applyAlignment="1">
      <alignment vertical="top" wrapText="1"/>
    </xf>
    <xf numFmtId="164" fontId="0" fillId="0" borderId="0" xfId="0" applyAlignment="1">
      <alignment horizontal="center" vertical="top"/>
    </xf>
    <xf numFmtId="41" fontId="0" fillId="6" borderId="0" xfId="0" applyNumberFormat="1" applyFill="1" applyAlignment="1">
      <alignment vertical="top" wrapText="1"/>
    </xf>
    <xf numFmtId="41" fontId="0" fillId="4" borderId="0" xfId="0" applyNumberFormat="1" applyFill="1" applyAlignment="1" applyProtection="1">
      <alignment vertical="top" wrapText="1"/>
      <protection locked="0"/>
    </xf>
    <xf numFmtId="41" fontId="10" fillId="6" borderId="10" xfId="0" applyNumberFormat="1" applyFont="1" applyFill="1" applyBorder="1" applyAlignment="1">
      <alignment vertical="top" wrapText="1"/>
    </xf>
    <xf numFmtId="41" fontId="10" fillId="7" borderId="10" xfId="0" applyNumberFormat="1" applyFont="1" applyFill="1" applyBorder="1" applyAlignment="1">
      <alignment vertical="top" wrapText="1"/>
    </xf>
    <xf numFmtId="166" fontId="0" fillId="7" borderId="0" xfId="0" applyNumberFormat="1" applyFill="1" applyAlignment="1" applyProtection="1">
      <alignment vertical="top"/>
      <protection locked="0"/>
    </xf>
    <xf numFmtId="0" fontId="0" fillId="0" borderId="6" xfId="0" applyNumberFormat="1" applyBorder="1" applyAlignment="1">
      <alignment horizontal="center" vertical="top"/>
    </xf>
    <xf numFmtId="37" fontId="0" fillId="0" borderId="6" xfId="0" applyNumberFormat="1" applyBorder="1" applyAlignment="1">
      <alignment vertical="top"/>
    </xf>
    <xf numFmtId="41" fontId="0" fillId="0" borderId="6" xfId="0" applyNumberFormat="1" applyBorder="1" applyAlignment="1">
      <alignment vertical="top"/>
    </xf>
    <xf numFmtId="166" fontId="0" fillId="0" borderId="6" xfId="0" applyNumberFormat="1" applyBorder="1" applyAlignment="1" applyProtection="1">
      <alignment vertical="top"/>
      <protection locked="0"/>
    </xf>
    <xf numFmtId="166" fontId="0" fillId="0" borderId="6" xfId="0" applyNumberFormat="1" applyBorder="1" applyAlignment="1" applyProtection="1">
      <alignment vertical="top" wrapText="1"/>
      <protection locked="0"/>
    </xf>
    <xf numFmtId="166" fontId="0" fillId="2" borderId="6" xfId="0" applyNumberFormat="1" applyFill="1" applyBorder="1" applyAlignment="1" applyProtection="1">
      <alignment vertical="top"/>
      <protection locked="0"/>
    </xf>
    <xf numFmtId="166" fontId="0" fillId="6" borderId="6" xfId="0" applyNumberFormat="1" applyFill="1" applyBorder="1" applyAlignment="1" applyProtection="1">
      <alignment vertical="top"/>
      <protection locked="0"/>
    </xf>
    <xf numFmtId="41" fontId="0" fillId="6" borderId="6" xfId="0" applyNumberFormat="1" applyFill="1" applyBorder="1" applyAlignment="1">
      <alignment vertical="top" wrapText="1"/>
    </xf>
    <xf numFmtId="166" fontId="0" fillId="7" borderId="6" xfId="0" applyNumberFormat="1" applyFill="1" applyBorder="1" applyAlignment="1" applyProtection="1">
      <alignment vertical="top"/>
      <protection locked="0"/>
    </xf>
    <xf numFmtId="166" fontId="0" fillId="7" borderId="6" xfId="0" applyNumberFormat="1" applyFill="1" applyBorder="1" applyAlignment="1" applyProtection="1">
      <alignment vertical="top" wrapText="1"/>
      <protection locked="0"/>
    </xf>
    <xf numFmtId="0" fontId="0" fillId="0" borderId="5" xfId="0" applyNumberFormat="1" applyBorder="1" applyAlignment="1">
      <alignment horizontal="center" vertical="top"/>
    </xf>
    <xf numFmtId="37" fontId="0" fillId="0" borderId="5" xfId="0" applyNumberFormat="1" applyBorder="1" applyAlignment="1">
      <alignment vertical="top" wrapText="1"/>
    </xf>
    <xf numFmtId="41" fontId="0" fillId="0" borderId="5" xfId="0" applyNumberFormat="1" applyBorder="1" applyAlignment="1">
      <alignment vertical="top"/>
    </xf>
    <xf numFmtId="41" fontId="0" fillId="0" borderId="5" xfId="0" applyNumberFormat="1" applyBorder="1" applyAlignment="1" applyProtection="1">
      <alignment vertical="top"/>
      <protection locked="0"/>
    </xf>
    <xf numFmtId="41" fontId="0" fillId="0" borderId="5" xfId="0" applyNumberFormat="1" applyBorder="1" applyAlignment="1" applyProtection="1">
      <alignment vertical="top" wrapText="1"/>
      <protection locked="0"/>
    </xf>
    <xf numFmtId="41" fontId="0" fillId="2" borderId="5" xfId="0" applyNumberFormat="1" applyFill="1" applyBorder="1" applyAlignment="1" applyProtection="1">
      <alignment vertical="top"/>
      <protection locked="0"/>
    </xf>
    <xf numFmtId="41" fontId="0" fillId="6" borderId="5" xfId="0" applyNumberFormat="1" applyFill="1" applyBorder="1" applyAlignment="1" applyProtection="1">
      <alignment vertical="top"/>
      <protection locked="0"/>
    </xf>
    <xf numFmtId="41" fontId="0" fillId="7" borderId="5" xfId="0" applyNumberFormat="1" applyFill="1" applyBorder="1" applyAlignment="1" applyProtection="1">
      <alignment vertical="top"/>
      <protection locked="0"/>
    </xf>
    <xf numFmtId="37" fontId="0" fillId="7" borderId="5" xfId="0" applyNumberFormat="1" applyFill="1" applyBorder="1" applyAlignment="1">
      <alignment vertical="top"/>
    </xf>
    <xf numFmtId="41" fontId="0" fillId="7" borderId="5" xfId="0" applyNumberFormat="1" applyFill="1" applyBorder="1" applyAlignment="1">
      <alignment vertical="top"/>
    </xf>
    <xf numFmtId="37" fontId="0" fillId="7" borderId="5" xfId="0" applyNumberFormat="1" applyFill="1" applyBorder="1" applyAlignment="1">
      <alignment vertical="top" wrapText="1"/>
    </xf>
    <xf numFmtId="37" fontId="0" fillId="0" borderId="5" xfId="0" applyNumberFormat="1" applyBorder="1" applyAlignment="1">
      <alignment vertical="top"/>
    </xf>
    <xf numFmtId="41" fontId="10" fillId="0" borderId="10" xfId="0" applyNumberFormat="1" applyFont="1" applyBorder="1" applyAlignment="1">
      <alignment vertical="top" wrapText="1"/>
    </xf>
    <xf numFmtId="41" fontId="0" fillId="6" borderId="10" xfId="0" applyNumberFormat="1" applyFill="1" applyBorder="1" applyAlignment="1">
      <alignment vertical="top" wrapText="1"/>
    </xf>
    <xf numFmtId="37" fontId="0" fillId="6" borderId="0" xfId="0" applyNumberFormat="1" applyFill="1" applyAlignment="1">
      <alignment vertical="top" wrapText="1"/>
    </xf>
    <xf numFmtId="41" fontId="10" fillId="6" borderId="10" xfId="0" applyNumberFormat="1" applyFont="1" applyFill="1" applyBorder="1" applyAlignment="1" applyProtection="1">
      <alignment vertical="top" wrapText="1"/>
      <protection locked="0"/>
    </xf>
    <xf numFmtId="41" fontId="10" fillId="7" borderId="10" xfId="0" applyNumberFormat="1" applyFont="1" applyFill="1" applyBorder="1" applyAlignment="1" applyProtection="1">
      <alignment vertical="top" wrapText="1"/>
      <protection locked="0"/>
    </xf>
    <xf numFmtId="41" fontId="0" fillId="5" borderId="0" xfId="0" applyNumberFormat="1" applyFill="1" applyAlignment="1">
      <alignment vertical="top" wrapText="1"/>
    </xf>
    <xf numFmtId="41" fontId="36" fillId="6" borderId="0" xfId="0" applyNumberFormat="1" applyFont="1" applyFill="1" applyAlignment="1">
      <alignment vertical="top" wrapText="1"/>
    </xf>
    <xf numFmtId="37" fontId="0" fillId="0" borderId="0" xfId="0" quotePrefix="1" applyNumberFormat="1" applyAlignment="1">
      <alignment horizontal="left" vertical="top" indent="2"/>
    </xf>
    <xf numFmtId="49" fontId="0" fillId="6" borderId="0" xfId="0" applyNumberFormat="1" applyFill="1" applyAlignment="1">
      <alignment vertical="top" wrapText="1"/>
    </xf>
    <xf numFmtId="37" fontId="10" fillId="7" borderId="10" xfId="0" applyNumberFormat="1" applyFont="1" applyFill="1" applyBorder="1" applyAlignment="1">
      <alignment vertical="top" wrapText="1"/>
    </xf>
    <xf numFmtId="41" fontId="0" fillId="7" borderId="6" xfId="0" applyNumberFormat="1" applyFill="1" applyBorder="1" applyAlignment="1" applyProtection="1">
      <alignment vertical="top"/>
      <protection locked="0"/>
    </xf>
    <xf numFmtId="37" fontId="0" fillId="7" borderId="6" xfId="0" applyNumberFormat="1" applyFill="1" applyBorder="1" applyAlignment="1">
      <alignment vertical="top" wrapText="1"/>
    </xf>
    <xf numFmtId="41" fontId="0" fillId="0" borderId="6" xfId="0" applyNumberFormat="1" applyBorder="1" applyAlignment="1">
      <alignment vertical="top" wrapText="1"/>
    </xf>
    <xf numFmtId="41" fontId="0" fillId="2" borderId="6" xfId="0" applyNumberFormat="1" applyFill="1" applyBorder="1" applyAlignment="1">
      <alignment vertical="top"/>
    </xf>
    <xf numFmtId="41" fontId="0" fillId="6" borderId="6" xfId="0" applyNumberFormat="1" applyFill="1" applyBorder="1" applyAlignment="1">
      <alignment vertical="top"/>
    </xf>
    <xf numFmtId="41" fontId="0" fillId="7" borderId="6" xfId="0" applyNumberFormat="1" applyFill="1" applyBorder="1" applyAlignment="1">
      <alignment vertical="top"/>
    </xf>
    <xf numFmtId="41" fontId="10" fillId="6" borderId="0" xfId="0" applyNumberFormat="1" applyFont="1" applyFill="1" applyAlignment="1">
      <alignment vertical="top" wrapText="1"/>
    </xf>
    <xf numFmtId="0" fontId="0" fillId="6" borderId="6" xfId="0" applyNumberFormat="1" applyFill="1" applyBorder="1" applyAlignment="1">
      <alignment vertical="top" wrapText="1"/>
    </xf>
    <xf numFmtId="37" fontId="10" fillId="7" borderId="7" xfId="0" applyNumberFormat="1" applyFont="1" applyFill="1" applyBorder="1" applyAlignment="1">
      <alignment vertical="top" wrapText="1"/>
    </xf>
    <xf numFmtId="164" fontId="0" fillId="0" borderId="0" xfId="0" applyAlignment="1">
      <alignment wrapText="1"/>
    </xf>
    <xf numFmtId="164" fontId="0" fillId="2" borderId="0" xfId="0" applyFill="1"/>
    <xf numFmtId="0" fontId="7" fillId="0" borderId="0" xfId="0" applyNumberFormat="1" applyFont="1" applyAlignment="1">
      <alignment horizontal="left" vertical="top"/>
    </xf>
    <xf numFmtId="0" fontId="10" fillId="0" borderId="1" xfId="0" applyNumberFormat="1" applyFont="1" applyBorder="1" applyAlignment="1">
      <alignment horizontal="left" vertical="top"/>
    </xf>
    <xf numFmtId="167" fontId="9" fillId="0" borderId="0" xfId="3" applyNumberFormat="1" applyFont="1" applyFill="1" applyBorder="1" applyAlignment="1" applyProtection="1">
      <alignment horizontal="center" vertical="top"/>
      <protection locked="0"/>
    </xf>
    <xf numFmtId="167" fontId="0" fillId="0" borderId="0" xfId="0" applyNumberFormat="1" applyAlignment="1">
      <alignment vertical="top"/>
    </xf>
    <xf numFmtId="0" fontId="37" fillId="2" borderId="0" xfId="5" applyNumberFormat="1" applyFont="1" applyFill="1" applyAlignment="1">
      <alignment vertical="top"/>
    </xf>
    <xf numFmtId="0" fontId="37" fillId="6" borderId="12" xfId="5" applyNumberFormat="1" applyFont="1" applyFill="1" applyBorder="1" applyAlignment="1">
      <alignment horizontal="center" vertical="top" wrapText="1"/>
    </xf>
    <xf numFmtId="0" fontId="37" fillId="6" borderId="13" xfId="5" applyNumberFormat="1" applyFont="1" applyFill="1" applyBorder="1" applyAlignment="1">
      <alignment horizontal="center" vertical="top" wrapText="1"/>
    </xf>
    <xf numFmtId="167" fontId="37" fillId="6" borderId="13" xfId="5" applyNumberFormat="1" applyFont="1" applyFill="1" applyBorder="1" applyAlignment="1">
      <alignment horizontal="center" vertical="top" wrapText="1"/>
    </xf>
    <xf numFmtId="0" fontId="37" fillId="3" borderId="12" xfId="5" applyNumberFormat="1" applyFont="1" applyFill="1" applyBorder="1" applyAlignment="1">
      <alignment horizontal="center" vertical="top" wrapText="1"/>
    </xf>
    <xf numFmtId="164" fontId="37" fillId="3" borderId="16" xfId="5" applyFont="1" applyFill="1" applyBorder="1" applyAlignment="1">
      <alignment horizontal="center" vertical="top" wrapText="1"/>
    </xf>
    <xf numFmtId="167" fontId="37" fillId="6" borderId="16" xfId="5" applyNumberFormat="1" applyFont="1" applyFill="1" applyBorder="1" applyAlignment="1">
      <alignment horizontal="center" vertical="top" wrapText="1"/>
    </xf>
    <xf numFmtId="164" fontId="19" fillId="2" borderId="0" xfId="5" applyFont="1" applyFill="1" applyAlignment="1">
      <alignment vertical="top"/>
    </xf>
    <xf numFmtId="164" fontId="19" fillId="6" borderId="11" xfId="5" applyFont="1" applyFill="1" applyBorder="1" applyAlignment="1">
      <alignment vertical="top"/>
    </xf>
    <xf numFmtId="164" fontId="19" fillId="6" borderId="11" xfId="5" applyFont="1" applyFill="1" applyBorder="1" applyAlignment="1">
      <alignment horizontal="center" vertical="top"/>
    </xf>
    <xf numFmtId="167" fontId="19" fillId="6" borderId="11" xfId="5" applyNumberFormat="1" applyFont="1" applyFill="1" applyBorder="1" applyAlignment="1">
      <alignment horizontal="center" vertical="top"/>
    </xf>
    <xf numFmtId="164" fontId="19" fillId="0" borderId="11" xfId="5" applyFont="1" applyBorder="1" applyAlignment="1">
      <alignment horizontal="center" vertical="top"/>
    </xf>
    <xf numFmtId="164" fontId="19" fillId="7" borderId="11" xfId="5" applyFont="1" applyFill="1" applyBorder="1" applyAlignment="1">
      <alignment horizontal="center" vertical="top"/>
    </xf>
    <xf numFmtId="164" fontId="19" fillId="3" borderId="11" xfId="5" applyFont="1" applyFill="1" applyBorder="1" applyAlignment="1">
      <alignment horizontal="center" vertical="top"/>
    </xf>
    <xf numFmtId="164" fontId="19" fillId="3" borderId="14" xfId="5" applyFont="1" applyFill="1" applyBorder="1" applyAlignment="1">
      <alignment horizontal="center" vertical="top"/>
    </xf>
    <xf numFmtId="164" fontId="19" fillId="2" borderId="0" xfId="5" applyFont="1" applyFill="1" applyAlignment="1">
      <alignment horizontal="center" vertical="top" wrapText="1"/>
    </xf>
    <xf numFmtId="164" fontId="19" fillId="2" borderId="0" xfId="5" applyFont="1" applyFill="1" applyAlignment="1">
      <alignment horizontal="center" vertical="top"/>
    </xf>
    <xf numFmtId="167" fontId="19" fillId="2" borderId="0" xfId="5" applyNumberFormat="1" applyFont="1" applyFill="1" applyAlignment="1">
      <alignment horizontal="center" vertical="top"/>
    </xf>
    <xf numFmtId="164" fontId="19" fillId="6" borderId="0" xfId="5" applyFont="1" applyFill="1" applyAlignment="1">
      <alignment vertical="top"/>
    </xf>
    <xf numFmtId="164" fontId="19" fillId="7" borderId="0" xfId="5" applyFont="1" applyFill="1" applyAlignment="1">
      <alignment vertical="top"/>
    </xf>
    <xf numFmtId="165" fontId="19" fillId="2" borderId="0" xfId="2" applyNumberFormat="1" applyFont="1" applyFill="1" applyBorder="1" applyAlignment="1">
      <alignment vertical="top"/>
    </xf>
    <xf numFmtId="41" fontId="19" fillId="2" borderId="0" xfId="5" applyNumberFormat="1" applyFont="1" applyFill="1" applyAlignment="1">
      <alignment vertical="top"/>
    </xf>
    <xf numFmtId="164" fontId="38" fillId="2" borderId="0" xfId="5" applyFont="1" applyFill="1" applyAlignment="1">
      <alignment vertical="top"/>
    </xf>
    <xf numFmtId="3" fontId="19" fillId="2" borderId="0" xfId="5" applyNumberFormat="1" applyFont="1" applyFill="1" applyAlignment="1">
      <alignment horizontal="center" vertical="top" wrapText="1"/>
    </xf>
    <xf numFmtId="3" fontId="19" fillId="2" borderId="0" xfId="5" applyNumberFormat="1" applyFont="1" applyFill="1" applyAlignment="1">
      <alignment horizontal="center" vertical="top"/>
    </xf>
    <xf numFmtId="3" fontId="19" fillId="6" borderId="0" xfId="5" applyNumberFormat="1" applyFont="1" applyFill="1" applyAlignment="1">
      <alignment vertical="top"/>
    </xf>
    <xf numFmtId="3" fontId="19" fillId="7" borderId="0" xfId="5" applyNumberFormat="1" applyFont="1" applyFill="1" applyAlignment="1">
      <alignment vertical="top"/>
    </xf>
    <xf numFmtId="3" fontId="19" fillId="2" borderId="0" xfId="5" applyNumberFormat="1" applyFont="1" applyFill="1" applyAlignment="1">
      <alignment vertical="top"/>
    </xf>
    <xf numFmtId="167" fontId="19" fillId="2" borderId="0" xfId="5" quotePrefix="1" applyNumberFormat="1" applyFont="1" applyFill="1" applyAlignment="1">
      <alignment horizontal="center" vertical="top"/>
    </xf>
    <xf numFmtId="3" fontId="19" fillId="2" borderId="0" xfId="5" quotePrefix="1" applyNumberFormat="1" applyFont="1" applyFill="1" applyAlignment="1">
      <alignment horizontal="center" vertical="top"/>
    </xf>
    <xf numFmtId="3" fontId="19" fillId="2" borderId="5" xfId="5" applyNumberFormat="1" applyFont="1" applyFill="1" applyBorder="1" applyAlignment="1">
      <alignment vertical="top"/>
    </xf>
    <xf numFmtId="3" fontId="37" fillId="2" borderId="6" xfId="5" applyNumberFormat="1" applyFont="1" applyFill="1" applyBorder="1" applyAlignment="1">
      <alignment horizontal="center" vertical="top" wrapText="1"/>
    </xf>
    <xf numFmtId="3" fontId="37" fillId="6" borderId="6" xfId="5" applyNumberFormat="1" applyFont="1" applyFill="1" applyBorder="1" applyAlignment="1">
      <alignment horizontal="center" vertical="top" wrapText="1"/>
    </xf>
    <xf numFmtId="3" fontId="37" fillId="7" borderId="6" xfId="5" applyNumberFormat="1" applyFont="1" applyFill="1" applyBorder="1" applyAlignment="1">
      <alignment vertical="top"/>
    </xf>
    <xf numFmtId="3" fontId="37" fillId="2" borderId="6" xfId="5" applyNumberFormat="1" applyFont="1" applyFill="1" applyBorder="1" applyAlignment="1">
      <alignment vertical="top"/>
    </xf>
    <xf numFmtId="3" fontId="37" fillId="2" borderId="0" xfId="5" applyNumberFormat="1" applyFont="1" applyFill="1" applyAlignment="1">
      <alignment vertical="top"/>
    </xf>
    <xf numFmtId="165" fontId="37" fillId="2" borderId="0" xfId="2" applyNumberFormat="1" applyFont="1" applyFill="1" applyBorder="1" applyAlignment="1">
      <alignment vertical="top"/>
    </xf>
    <xf numFmtId="3" fontId="37" fillId="2" borderId="0" xfId="5" applyNumberFormat="1" applyFont="1" applyFill="1" applyAlignment="1">
      <alignment horizontal="center" vertical="top" wrapText="1"/>
    </xf>
    <xf numFmtId="167" fontId="37" fillId="2" borderId="0" xfId="5" applyNumberFormat="1" applyFont="1" applyFill="1" applyAlignment="1">
      <alignment horizontal="center" vertical="top" wrapText="1"/>
    </xf>
    <xf numFmtId="3" fontId="37" fillId="13" borderId="0" xfId="5" applyNumberFormat="1" applyFont="1" applyFill="1" applyAlignment="1">
      <alignment horizontal="center" vertical="top" wrapText="1"/>
    </xf>
    <xf numFmtId="9" fontId="37" fillId="2" borderId="0" xfId="2" applyFont="1" applyFill="1" applyBorder="1" applyAlignment="1">
      <alignment vertical="top"/>
    </xf>
    <xf numFmtId="9" fontId="37" fillId="2" borderId="0" xfId="2" applyFont="1" applyFill="1" applyAlignment="1">
      <alignment vertical="top"/>
    </xf>
    <xf numFmtId="9" fontId="37" fillId="2" borderId="0" xfId="2" applyFont="1" applyFill="1" applyAlignment="1">
      <alignment horizontal="center" vertical="top" wrapText="1"/>
    </xf>
    <xf numFmtId="3" fontId="37" fillId="2" borderId="0" xfId="5" applyNumberFormat="1" applyFont="1" applyFill="1" applyAlignment="1">
      <alignment horizontal="center" vertical="top"/>
    </xf>
    <xf numFmtId="167" fontId="37" fillId="2" borderId="0" xfId="5" applyNumberFormat="1" applyFont="1" applyFill="1" applyAlignment="1">
      <alignment horizontal="center" vertical="top"/>
    </xf>
    <xf numFmtId="41" fontId="37" fillId="2" borderId="0" xfId="5" applyNumberFormat="1" applyFont="1" applyFill="1" applyAlignment="1">
      <alignment vertical="top"/>
    </xf>
    <xf numFmtId="167" fontId="19" fillId="2" borderId="0" xfId="5" applyNumberFormat="1" applyFont="1" applyFill="1" applyAlignment="1">
      <alignment horizontal="center" vertical="top" wrapText="1"/>
    </xf>
    <xf numFmtId="164" fontId="19" fillId="2" borderId="0" xfId="5" applyFont="1" applyFill="1" applyAlignment="1">
      <alignment vertical="top" wrapText="1"/>
    </xf>
    <xf numFmtId="164" fontId="38" fillId="2" borderId="0" xfId="5" applyFont="1" applyFill="1" applyAlignment="1">
      <alignment horizontal="center" vertical="top" wrapText="1"/>
    </xf>
    <xf numFmtId="10" fontId="19" fillId="2" borderId="0" xfId="6" applyNumberFormat="1" applyFont="1" applyFill="1" applyAlignment="1">
      <alignment vertical="top"/>
    </xf>
    <xf numFmtId="10" fontId="19" fillId="2" borderId="0" xfId="5" applyNumberFormat="1" applyFont="1" applyFill="1" applyAlignment="1">
      <alignment vertical="top"/>
    </xf>
    <xf numFmtId="165" fontId="19" fillId="2" borderId="0" xfId="2" applyNumberFormat="1" applyFont="1" applyFill="1" applyAlignment="1">
      <alignment vertical="top"/>
    </xf>
    <xf numFmtId="41" fontId="19" fillId="2" borderId="0" xfId="2" applyNumberFormat="1" applyFont="1" applyFill="1" applyBorder="1" applyAlignment="1">
      <alignment vertical="top"/>
    </xf>
    <xf numFmtId="41" fontId="19" fillId="2" borderId="0" xfId="2" applyNumberFormat="1" applyFont="1" applyFill="1" applyAlignment="1">
      <alignment vertical="top"/>
    </xf>
    <xf numFmtId="168" fontId="19" fillId="2" borderId="0" xfId="5" applyNumberFormat="1" applyFont="1" applyFill="1" applyAlignment="1">
      <alignment vertical="top"/>
    </xf>
    <xf numFmtId="5" fontId="0" fillId="0" borderId="0" xfId="0" applyNumberFormat="1" applyFill="1" applyAlignment="1">
      <alignment vertical="top"/>
    </xf>
    <xf numFmtId="37" fontId="0" fillId="0" borderId="0" xfId="0" applyNumberFormat="1" applyFill="1" applyAlignment="1">
      <alignment vertical="top"/>
    </xf>
    <xf numFmtId="37" fontId="0" fillId="0" borderId="0" xfId="0" applyNumberFormat="1" applyFill="1" applyAlignment="1">
      <alignment vertical="top" wrapText="1"/>
    </xf>
    <xf numFmtId="37" fontId="10" fillId="0" borderId="0" xfId="0" applyNumberFormat="1" applyFont="1" applyFill="1" applyAlignment="1">
      <alignment horizontal="left" vertical="top"/>
    </xf>
    <xf numFmtId="164" fontId="5" fillId="0" borderId="0" xfId="0" applyFont="1" applyFill="1" applyAlignment="1">
      <alignment vertical="top" wrapText="1"/>
    </xf>
    <xf numFmtId="0" fontId="5" fillId="0" borderId="0" xfId="0" applyNumberFormat="1" applyFont="1" applyFill="1" applyAlignment="1">
      <alignment vertical="top"/>
    </xf>
    <xf numFmtId="5" fontId="8" fillId="0" borderId="0" xfId="0" applyNumberFormat="1" applyFont="1" applyFill="1" applyAlignment="1">
      <alignment vertical="top"/>
    </xf>
    <xf numFmtId="37" fontId="8" fillId="0" borderId="0" xfId="0" applyNumberFormat="1" applyFont="1" applyFill="1" applyAlignment="1">
      <alignment vertical="top"/>
    </xf>
    <xf numFmtId="5" fontId="0" fillId="0" borderId="0" xfId="0" applyNumberFormat="1" applyFill="1" applyAlignment="1">
      <alignment vertical="top" wrapText="1"/>
    </xf>
    <xf numFmtId="0" fontId="10" fillId="8" borderId="21" xfId="0" applyNumberFormat="1" applyFont="1" applyFill="1" applyBorder="1" applyAlignment="1" applyProtection="1">
      <alignment horizontal="center" vertical="center" wrapText="1"/>
      <protection locked="0"/>
    </xf>
    <xf numFmtId="0" fontId="10" fillId="2" borderId="5" xfId="0" applyNumberFormat="1" applyFont="1" applyFill="1" applyBorder="1" applyAlignment="1" applyProtection="1">
      <alignment horizontal="center" vertical="center" wrapText="1"/>
      <protection locked="0"/>
    </xf>
    <xf numFmtId="0" fontId="2" fillId="6" borderId="0" xfId="0" applyNumberFormat="1" applyFont="1" applyFill="1" applyAlignment="1">
      <alignment vertical="top" wrapText="1"/>
    </xf>
    <xf numFmtId="37" fontId="2" fillId="0" borderId="0" xfId="0" applyNumberFormat="1" applyFont="1" applyAlignment="1">
      <alignment horizontal="center" vertical="top"/>
    </xf>
    <xf numFmtId="0" fontId="10" fillId="0" borderId="0" xfId="0" applyNumberFormat="1" applyFont="1" applyAlignment="1">
      <alignment horizontal="left" vertical="top"/>
    </xf>
    <xf numFmtId="164" fontId="19" fillId="2" borderId="0" xfId="5" applyFont="1" applyFill="1" applyAlignment="1">
      <alignment horizontal="center" vertical="top" wrapText="1"/>
    </xf>
    <xf numFmtId="0" fontId="37" fillId="0" borderId="14" xfId="5" applyNumberFormat="1" applyFont="1" applyBorder="1" applyAlignment="1">
      <alignment horizontal="center" vertical="top" wrapText="1"/>
    </xf>
    <xf numFmtId="0" fontId="37" fillId="0" borderId="10" xfId="5" applyNumberFormat="1" applyFont="1" applyBorder="1" applyAlignment="1">
      <alignment horizontal="center" vertical="top" wrapText="1"/>
    </xf>
    <xf numFmtId="0" fontId="37" fillId="0" borderId="15" xfId="5" applyNumberFormat="1" applyFont="1" applyBorder="1" applyAlignment="1">
      <alignment horizontal="center" vertical="top" wrapText="1"/>
    </xf>
    <xf numFmtId="0" fontId="37" fillId="2" borderId="14" xfId="5" applyNumberFormat="1" applyFont="1" applyFill="1" applyBorder="1" applyAlignment="1">
      <alignment horizontal="center" vertical="top" wrapText="1"/>
    </xf>
    <xf numFmtId="0" fontId="37" fillId="2" borderId="10" xfId="5" applyNumberFormat="1" applyFont="1" applyFill="1" applyBorder="1" applyAlignment="1">
      <alignment horizontal="center" vertical="top" wrapText="1"/>
    </xf>
    <xf numFmtId="0" fontId="37" fillId="2" borderId="15" xfId="5" applyNumberFormat="1" applyFont="1" applyFill="1" applyBorder="1" applyAlignment="1">
      <alignment horizontal="center" vertical="top" wrapText="1"/>
    </xf>
    <xf numFmtId="0" fontId="37" fillId="6" borderId="14" xfId="5" applyNumberFormat="1" applyFont="1" applyFill="1" applyBorder="1" applyAlignment="1">
      <alignment horizontal="center" vertical="top" wrapText="1"/>
    </xf>
    <xf numFmtId="0" fontId="37" fillId="6" borderId="10" xfId="5" applyNumberFormat="1" applyFont="1" applyFill="1" applyBorder="1" applyAlignment="1">
      <alignment horizontal="center" vertical="top" wrapText="1"/>
    </xf>
    <xf numFmtId="0" fontId="37" fillId="6" borderId="15" xfId="5" applyNumberFormat="1" applyFont="1" applyFill="1" applyBorder="1" applyAlignment="1">
      <alignment horizontal="center" vertical="top" wrapText="1"/>
    </xf>
    <xf numFmtId="0" fontId="37" fillId="7" borderId="14" xfId="5" applyNumberFormat="1" applyFont="1" applyFill="1" applyBorder="1" applyAlignment="1">
      <alignment horizontal="center" vertical="top" wrapText="1"/>
    </xf>
    <xf numFmtId="0" fontId="37" fillId="7" borderId="10" xfId="5" applyNumberFormat="1" applyFont="1" applyFill="1" applyBorder="1" applyAlignment="1">
      <alignment horizontal="center" vertical="top" wrapText="1"/>
    </xf>
    <xf numFmtId="0" fontId="37" fillId="7" borderId="15" xfId="5" applyNumberFormat="1" applyFont="1" applyFill="1" applyBorder="1" applyAlignment="1">
      <alignment horizontal="center" vertical="top" wrapText="1"/>
    </xf>
    <xf numFmtId="41" fontId="19" fillId="2" borderId="13" xfId="5" applyNumberFormat="1" applyFont="1" applyFill="1" applyBorder="1" applyAlignment="1">
      <alignment horizontal="center" vertical="top" wrapText="1"/>
    </xf>
    <xf numFmtId="41" fontId="19" fillId="2" borderId="18" xfId="5" applyNumberFormat="1" applyFont="1" applyFill="1" applyBorder="1" applyAlignment="1">
      <alignment horizontal="center" vertical="top" wrapText="1"/>
    </xf>
    <xf numFmtId="41" fontId="19" fillId="2" borderId="20" xfId="5" applyNumberFormat="1" applyFont="1" applyFill="1" applyBorder="1" applyAlignment="1">
      <alignment horizontal="center" vertical="top" wrapText="1"/>
    </xf>
    <xf numFmtId="41" fontId="19" fillId="2" borderId="0" xfId="5" applyNumberFormat="1" applyFont="1" applyFill="1" applyAlignment="1">
      <alignment horizontal="center" vertical="top" wrapText="1"/>
    </xf>
    <xf numFmtId="41" fontId="19" fillId="2" borderId="12" xfId="5" applyNumberFormat="1" applyFont="1" applyFill="1" applyBorder="1" applyAlignment="1">
      <alignment horizontal="center" vertical="top" wrapText="1"/>
    </xf>
    <xf numFmtId="41" fontId="19" fillId="2" borderId="17" xfId="5" applyNumberFormat="1" applyFont="1" applyFill="1" applyBorder="1" applyAlignment="1">
      <alignment horizontal="center" vertical="top" wrapText="1"/>
    </xf>
    <xf numFmtId="41" fontId="19" fillId="2" borderId="19" xfId="5" applyNumberFormat="1" applyFont="1" applyFill="1" applyBorder="1" applyAlignment="1">
      <alignment horizontal="center" vertical="top" wrapText="1"/>
    </xf>
    <xf numFmtId="37" fontId="1" fillId="7" borderId="0" xfId="0" applyNumberFormat="1" applyFont="1" applyFill="1" applyAlignment="1">
      <alignment vertical="top" wrapText="1"/>
    </xf>
    <xf numFmtId="0" fontId="3" fillId="0" borderId="0" xfId="0" applyNumberFormat="1" applyFont="1" applyFill="1" applyAlignment="1">
      <alignment horizontal="center" vertical="top"/>
    </xf>
    <xf numFmtId="37" fontId="3" fillId="0" borderId="0" xfId="0" applyNumberFormat="1" applyFont="1" applyFill="1" applyAlignment="1">
      <alignment vertical="top"/>
    </xf>
    <xf numFmtId="165" fontId="9" fillId="0" borderId="0" xfId="2" applyNumberFormat="1" applyFont="1" applyFill="1" applyBorder="1" applyAlignment="1" applyProtection="1">
      <alignment horizontal="center" vertical="top" wrapText="1"/>
      <protection locked="0"/>
    </xf>
    <xf numFmtId="164" fontId="0" fillId="0" borderId="0" xfId="0" applyFill="1"/>
  </cellXfs>
  <cellStyles count="7">
    <cellStyle name="Comma" xfId="1" builtinId="3"/>
    <cellStyle name="Hyperlink" xfId="3" builtinId="8"/>
    <cellStyle name="Normal" xfId="0" builtinId="0"/>
    <cellStyle name="Normal 2 4" xfId="5" xr:uid="{E366695A-18DB-4422-BB69-A402A8CAB0B1}"/>
    <cellStyle name="Percent" xfId="2" builtinId="5"/>
    <cellStyle name="Percent 2" xfId="6" xr:uid="{BB94A18A-5BE7-41AD-B5FE-8BF5A17478B9}"/>
    <cellStyle name="Percent 3" xfId="4" xr:uid="{18FA355E-0724-47E7-8ACB-D1ED5E70B0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murray\AppData\Local\Microsoft\Windows\Temporary%20Internet%20Files\Content.Outlook\LKOW2G90\Diocese%20Commitment%20Set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TL\Year%20Ends\11fs\Commitment\April%202011%20Diocesan%20Commit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202022%20budget%202023-2024%20draft%20(NKB)%201025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RO\Docs\KBarnes\COVID-19\2021%20Budget\(NKB%20work%20copy)%202019-2021%20Adopted%20Oct%202019%20COVID-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mark/AppData/Local/Microsoft/Windows/INetCache/Content.Outlook/GRQ0KAJJ/EC%202023%202024%20budget%20draft%20(Director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C%202023%202024%20budget%20draft%20(NKB).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nkbarnes_dfms_org/Documents/Documents/Budget%202022-2024/2023-2024/Ecumenical%20EC%202023%202024%20Ecumenical--%20Interreligiou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ersonal/nkbarnes_dfms_org/Documents/Documents/Budget%202022-2024/2023-2024/GCO%20EC%202023%202024%20budget%20draft_GCO.pj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ersonal/nkbarnes_dfms_org/Documents/Documents/Budget%202022-2024/2023-2024/Smith%202023%202024%20budget%20draft%20(vGS%206-2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ess"/>
      <sheetName val="Account Number"/>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Rec."/>
      <sheetName val="JE Form  (2)"/>
      <sheetName val="JE Form "/>
      <sheetName val="Journal Entry"/>
      <sheetName val="Accrual History"/>
      <sheetName val="Present value Comm."/>
      <sheetName val="2011 Tracking"/>
      <sheetName val="2010 Tracking"/>
      <sheetName val="2009 Tracking"/>
      <sheetName val="2008 Tracking "/>
      <sheetName val="2009 Accrual Trans."/>
      <sheetName val="1101 Rec."/>
      <sheetName val="12-07 YE Accrual"/>
      <sheetName val="12-06 YE Accrual"/>
      <sheetName val="12-05 YE Accrual"/>
      <sheetName val="Master for 2006"/>
      <sheetName val="Master for 2008"/>
      <sheetName val="2011 Kurts file"/>
      <sheetName val="New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E7" t="str">
            <v>Alabama</v>
          </cell>
          <cell r="F7">
            <v>2429931</v>
          </cell>
          <cell r="G7">
            <v>415251</v>
          </cell>
          <cell r="H7">
            <v>0.18</v>
          </cell>
          <cell r="J7" t="str">
            <v>Alabama</v>
          </cell>
          <cell r="K7" t="str">
            <v>No</v>
          </cell>
        </row>
        <row r="8">
          <cell r="E8" t="str">
            <v>Adj. to budget</v>
          </cell>
          <cell r="G8">
            <v>-546519</v>
          </cell>
        </row>
        <row r="9">
          <cell r="E9" t="str">
            <v>Alaska</v>
          </cell>
          <cell r="F9">
            <v>488676</v>
          </cell>
          <cell r="G9">
            <v>73740</v>
          </cell>
          <cell r="H9">
            <v>0.2</v>
          </cell>
          <cell r="J9" t="str">
            <v>Alaska</v>
          </cell>
          <cell r="K9" t="str">
            <v>Yes</v>
          </cell>
        </row>
        <row r="10">
          <cell r="E10" t="str">
            <v>Albany</v>
          </cell>
          <cell r="F10">
            <v>1297541</v>
          </cell>
          <cell r="G10">
            <v>125371</v>
          </cell>
          <cell r="H10">
            <v>0.106</v>
          </cell>
          <cell r="J10" t="str">
            <v>Albany</v>
          </cell>
          <cell r="K10" t="str">
            <v>No</v>
          </cell>
        </row>
        <row r="11">
          <cell r="E11" t="str">
            <v>Arizona</v>
          </cell>
          <cell r="F11">
            <v>2411433</v>
          </cell>
          <cell r="G11">
            <v>458300</v>
          </cell>
          <cell r="H11">
            <v>0.2</v>
          </cell>
          <cell r="J11" t="str">
            <v>Arizona</v>
          </cell>
          <cell r="K11" t="str">
            <v>Yes</v>
          </cell>
        </row>
        <row r="12">
          <cell r="E12" t="str">
            <v>Arkansas</v>
          </cell>
          <cell r="F12">
            <v>1208545</v>
          </cell>
          <cell r="G12">
            <v>0</v>
          </cell>
          <cell r="H12">
            <v>0</v>
          </cell>
          <cell r="J12" t="str">
            <v>Arkansas</v>
          </cell>
          <cell r="K12" t="str">
            <v>No</v>
          </cell>
        </row>
        <row r="13">
          <cell r="E13" t="str">
            <v>Atlanta</v>
          </cell>
          <cell r="F13">
            <v>4093658</v>
          </cell>
          <cell r="G13">
            <v>794732</v>
          </cell>
          <cell r="H13">
            <v>0.2</v>
          </cell>
          <cell r="J13" t="str">
            <v>Atlanta</v>
          </cell>
          <cell r="K13" t="str">
            <v>Yes</v>
          </cell>
        </row>
        <row r="14">
          <cell r="E14" t="str">
            <v>Bethlehem</v>
          </cell>
          <cell r="F14">
            <v>1410522</v>
          </cell>
          <cell r="G14">
            <v>93500</v>
          </cell>
          <cell r="H14">
            <v>7.1999999999999995E-2</v>
          </cell>
          <cell r="I14" t="e">
            <v>#REF!</v>
          </cell>
          <cell r="J14" t="str">
            <v>Bethlehem</v>
          </cell>
          <cell r="K14" t="str">
            <v>Yes</v>
          </cell>
        </row>
        <row r="15">
          <cell r="E15" t="str">
            <v>California</v>
          </cell>
          <cell r="F15">
            <v>3624316</v>
          </cell>
          <cell r="G15">
            <v>700863</v>
          </cell>
          <cell r="H15">
            <v>0.2</v>
          </cell>
          <cell r="I15" t="e">
            <v>#REF!</v>
          </cell>
          <cell r="J15" t="str">
            <v>California</v>
          </cell>
          <cell r="K15" t="str">
            <v>Yes</v>
          </cell>
        </row>
        <row r="16">
          <cell r="E16" t="str">
            <v>Central Florida</v>
          </cell>
          <cell r="F16">
            <v>2108552</v>
          </cell>
          <cell r="G16">
            <v>0</v>
          </cell>
          <cell r="H16">
            <v>0</v>
          </cell>
          <cell r="I16">
            <v>0</v>
          </cell>
          <cell r="J16" t="str">
            <v>Central Florida</v>
          </cell>
          <cell r="K16" t="str">
            <v>No</v>
          </cell>
        </row>
        <row r="17">
          <cell r="E17" t="str">
            <v>Central Gulf Coast</v>
          </cell>
          <cell r="F17">
            <v>1484833</v>
          </cell>
          <cell r="G17">
            <v>129040</v>
          </cell>
          <cell r="H17">
            <v>9.5000000000000001E-2</v>
          </cell>
          <cell r="I17" t="e">
            <v>#REF!</v>
          </cell>
          <cell r="J17" t="str">
            <v>Central Gulf Coast</v>
          </cell>
          <cell r="K17" t="str">
            <v>Yes</v>
          </cell>
        </row>
        <row r="18">
          <cell r="E18" t="str">
            <v>Central New York</v>
          </cell>
          <cell r="F18">
            <v>1749848</v>
          </cell>
          <cell r="G18">
            <v>306557</v>
          </cell>
          <cell r="H18">
            <v>0.188</v>
          </cell>
          <cell r="I18" t="e">
            <v>#REF!</v>
          </cell>
          <cell r="J18" t="str">
            <v>Central New York</v>
          </cell>
          <cell r="K18" t="str">
            <v>No</v>
          </cell>
        </row>
        <row r="19">
          <cell r="E19" t="str">
            <v>Central Pennsylvania</v>
          </cell>
          <cell r="F19">
            <v>1490803</v>
          </cell>
          <cell r="G19">
            <v>274161</v>
          </cell>
          <cell r="H19">
            <v>0.2</v>
          </cell>
          <cell r="I19" t="e">
            <v>#REF!</v>
          </cell>
          <cell r="J19" t="str">
            <v>Central Pennsylvania</v>
          </cell>
          <cell r="K19" t="str">
            <v>Yes</v>
          </cell>
        </row>
        <row r="20">
          <cell r="E20" t="str">
            <v>Chicago</v>
          </cell>
          <cell r="F20">
            <v>3096034</v>
          </cell>
          <cell r="G20">
            <v>595212</v>
          </cell>
          <cell r="H20">
            <v>0.2</v>
          </cell>
          <cell r="I20" t="e">
            <v>#REF!</v>
          </cell>
          <cell r="J20" t="str">
            <v>Chicago</v>
          </cell>
          <cell r="K20" t="str">
            <v>Yes</v>
          </cell>
        </row>
        <row r="21">
          <cell r="E21" t="str">
            <v>Colombia</v>
          </cell>
          <cell r="F21">
            <v>254139</v>
          </cell>
          <cell r="G21">
            <v>0</v>
          </cell>
          <cell r="H21">
            <v>0</v>
          </cell>
          <cell r="I21">
            <v>0</v>
          </cell>
          <cell r="J21" t="str">
            <v>Colombia</v>
          </cell>
          <cell r="K21" t="str">
            <v>No</v>
          </cell>
        </row>
        <row r="22">
          <cell r="E22" t="str">
            <v>Colorado</v>
          </cell>
          <cell r="F22">
            <v>1663013</v>
          </cell>
          <cell r="G22">
            <v>158856</v>
          </cell>
          <cell r="H22">
            <v>0.10299999999999999</v>
          </cell>
          <cell r="I22" t="e">
            <v>#REF!</v>
          </cell>
          <cell r="J22" t="str">
            <v>Colorado</v>
          </cell>
          <cell r="K22" t="str">
            <v>No</v>
          </cell>
        </row>
        <row r="23">
          <cell r="E23" t="str">
            <v>Connecticut</v>
          </cell>
          <cell r="F23">
            <v>5137958</v>
          </cell>
          <cell r="G23">
            <v>1041250</v>
          </cell>
          <cell r="H23">
            <v>0.20799999999999999</v>
          </cell>
          <cell r="I23" t="e">
            <v>#REF!</v>
          </cell>
          <cell r="J23" t="str">
            <v>Connecticut</v>
          </cell>
          <cell r="K23" t="str">
            <v>Yes</v>
          </cell>
        </row>
        <row r="24">
          <cell r="E24" t="str">
            <v>Conv. of Episc. Churches in  Europe</v>
          </cell>
          <cell r="F24">
            <v>489744</v>
          </cell>
          <cell r="G24">
            <v>27637</v>
          </cell>
          <cell r="H24">
            <v>7.4999999999999997E-2</v>
          </cell>
          <cell r="I24" t="e">
            <v>#REF!</v>
          </cell>
          <cell r="J24" t="str">
            <v>Conv. of Episc. Churches in  Europe</v>
          </cell>
          <cell r="K24" t="str">
            <v>Yes</v>
          </cell>
        </row>
        <row r="25">
          <cell r="E25" t="str">
            <v>Dallas</v>
          </cell>
          <cell r="F25">
            <v>3109236</v>
          </cell>
          <cell r="G25">
            <v>0</v>
          </cell>
          <cell r="H25">
            <v>0</v>
          </cell>
          <cell r="I25">
            <v>0</v>
          </cell>
          <cell r="J25" t="str">
            <v>Dallas</v>
          </cell>
          <cell r="K25" t="str">
            <v>No</v>
          </cell>
        </row>
        <row r="26">
          <cell r="E26" t="str">
            <v>Delaware</v>
          </cell>
          <cell r="F26">
            <v>1456073</v>
          </cell>
          <cell r="G26">
            <v>228000</v>
          </cell>
          <cell r="H26">
            <v>0.17100000000000001</v>
          </cell>
          <cell r="I26" t="e">
            <v>#REF!</v>
          </cell>
          <cell r="J26" t="str">
            <v>Delaware</v>
          </cell>
          <cell r="K26" t="str">
            <v>Yes</v>
          </cell>
        </row>
        <row r="27">
          <cell r="E27" t="str">
            <v>Dominican Republic</v>
          </cell>
          <cell r="F27">
            <v>0</v>
          </cell>
          <cell r="G27">
            <v>10000</v>
          </cell>
          <cell r="H27" t="str">
            <v xml:space="preserve">n/a </v>
          </cell>
          <cell r="I27" t="e">
            <v>#REF!</v>
          </cell>
          <cell r="J27" t="str">
            <v>Dominican Republic</v>
          </cell>
          <cell r="K27" t="str">
            <v>Yes</v>
          </cell>
        </row>
        <row r="28">
          <cell r="E28" t="str">
            <v>East Carolina</v>
          </cell>
          <cell r="F28">
            <v>1194403</v>
          </cell>
          <cell r="G28">
            <v>0</v>
          </cell>
          <cell r="H28">
            <v>0</v>
          </cell>
          <cell r="I28">
            <v>0</v>
          </cell>
          <cell r="J28" t="str">
            <v>East Carolina</v>
          </cell>
          <cell r="K28" t="str">
            <v>No</v>
          </cell>
        </row>
        <row r="29">
          <cell r="E29" t="str">
            <v>East Tennessee</v>
          </cell>
          <cell r="F29">
            <v>1678984</v>
          </cell>
          <cell r="G29">
            <v>325023</v>
          </cell>
          <cell r="H29">
            <v>0.20799999999999999</v>
          </cell>
          <cell r="I29" t="e">
            <v>#REF!</v>
          </cell>
          <cell r="J29" t="str">
            <v>East Tennessee</v>
          </cell>
          <cell r="K29" t="str">
            <v>Yes</v>
          </cell>
        </row>
        <row r="30">
          <cell r="E30" t="str">
            <v>Eastern Michigan</v>
          </cell>
          <cell r="F30">
            <v>803947</v>
          </cell>
          <cell r="G30">
            <v>80395</v>
          </cell>
          <cell r="H30">
            <v>0.11799999999999999</v>
          </cell>
          <cell r="I30" t="e">
            <v>#REF!</v>
          </cell>
          <cell r="J30" t="str">
            <v>Eastern Michigan</v>
          </cell>
          <cell r="K30" t="str">
            <v>Yes</v>
          </cell>
        </row>
        <row r="31">
          <cell r="E31" t="str">
            <v>Eastern Oregon</v>
          </cell>
          <cell r="F31">
            <v>548487</v>
          </cell>
          <cell r="G31">
            <v>83412</v>
          </cell>
          <cell r="H31">
            <v>0.19500000000000001</v>
          </cell>
          <cell r="I31" t="e">
            <v>#REF!</v>
          </cell>
          <cell r="J31" t="str">
            <v>Eastern Oregon</v>
          </cell>
          <cell r="K31" t="str">
            <v>No</v>
          </cell>
        </row>
        <row r="32">
          <cell r="E32" t="str">
            <v>Easton</v>
          </cell>
          <cell r="F32">
            <v>726074</v>
          </cell>
          <cell r="G32">
            <v>121215</v>
          </cell>
          <cell r="H32">
            <v>0.2</v>
          </cell>
          <cell r="I32" t="e">
            <v>#REF!</v>
          </cell>
          <cell r="J32" t="str">
            <v>Easton</v>
          </cell>
          <cell r="K32" t="str">
            <v>Yes</v>
          </cell>
        </row>
        <row r="33">
          <cell r="E33" t="str">
            <v>Eau Claire</v>
          </cell>
          <cell r="F33">
            <v>253481</v>
          </cell>
          <cell r="G33">
            <v>26696</v>
          </cell>
          <cell r="H33">
            <v>0.2</v>
          </cell>
          <cell r="I33" t="e">
            <v>#REF!</v>
          </cell>
          <cell r="J33" t="str">
            <v>Eau Claire</v>
          </cell>
          <cell r="K33" t="str">
            <v>No</v>
          </cell>
        </row>
        <row r="34">
          <cell r="E34" t="str">
            <v>Ecuador Central</v>
          </cell>
          <cell r="F34">
            <v>0</v>
          </cell>
          <cell r="G34">
            <v>0</v>
          </cell>
          <cell r="H34" t="str">
            <v xml:space="preserve">n/a </v>
          </cell>
          <cell r="I34">
            <v>0</v>
          </cell>
          <cell r="J34" t="str">
            <v>Ecuador Central</v>
          </cell>
          <cell r="K34" t="str">
            <v>No</v>
          </cell>
        </row>
        <row r="35">
          <cell r="E35" t="str">
            <v>Ecuador Litoral</v>
          </cell>
          <cell r="F35">
            <v>191780</v>
          </cell>
          <cell r="G35">
            <v>0</v>
          </cell>
          <cell r="H35">
            <v>0</v>
          </cell>
          <cell r="I35">
            <v>0</v>
          </cell>
          <cell r="J35" t="str">
            <v>Ecuador Litoral</v>
          </cell>
          <cell r="K35" t="str">
            <v>No</v>
          </cell>
        </row>
        <row r="36">
          <cell r="E36" t="str">
            <v>El Camino Real</v>
          </cell>
          <cell r="F36">
            <v>1264427</v>
          </cell>
          <cell r="G36">
            <v>187988</v>
          </cell>
          <cell r="H36">
            <v>0.16400000000000001</v>
          </cell>
          <cell r="I36" t="e">
            <v>#REF!</v>
          </cell>
          <cell r="J36" t="str">
            <v>El Camino Real</v>
          </cell>
          <cell r="K36" t="str">
            <v>No</v>
          </cell>
        </row>
        <row r="37">
          <cell r="E37" t="str">
            <v>Florida</v>
          </cell>
          <cell r="F37" t="str">
            <v xml:space="preserve">No Report </v>
          </cell>
          <cell r="G37">
            <v>167500</v>
          </cell>
          <cell r="H37" t="str">
            <v xml:space="preserve">n/a </v>
          </cell>
          <cell r="I37" t="e">
            <v>#REF!</v>
          </cell>
          <cell r="J37" t="str">
            <v>Florida</v>
          </cell>
          <cell r="K37" t="str">
            <v>Yes</v>
          </cell>
        </row>
        <row r="38">
          <cell r="E38" t="str">
            <v>Fond du Lac</v>
          </cell>
          <cell r="F38">
            <v>588554</v>
          </cell>
          <cell r="G38">
            <v>49000</v>
          </cell>
          <cell r="H38">
            <v>0.105</v>
          </cell>
          <cell r="I38" t="e">
            <v>#REF!</v>
          </cell>
          <cell r="J38" t="str">
            <v>Fond du Lac</v>
          </cell>
          <cell r="K38" t="str">
            <v>No</v>
          </cell>
        </row>
        <row r="39">
          <cell r="E39" t="str">
            <v>Fort Worth</v>
          </cell>
          <cell r="F39">
            <v>202065</v>
          </cell>
          <cell r="G39">
            <v>40000</v>
          </cell>
          <cell r="H39">
            <v>0.48699999999999999</v>
          </cell>
          <cell r="I39" t="e">
            <v>#REF!</v>
          </cell>
          <cell r="J39" t="str">
            <v>Fort Worth</v>
          </cell>
          <cell r="K39" t="str">
            <v>Yes</v>
          </cell>
        </row>
        <row r="40">
          <cell r="E40" t="str">
            <v>Georgia</v>
          </cell>
          <cell r="F40">
            <v>1417119</v>
          </cell>
          <cell r="G40">
            <v>178000</v>
          </cell>
          <cell r="H40">
            <v>0.13700000000000001</v>
          </cell>
          <cell r="I40" t="e">
            <v>#REF!</v>
          </cell>
          <cell r="J40" t="str">
            <v>Georgia</v>
          </cell>
          <cell r="K40" t="str">
            <v>No</v>
          </cell>
        </row>
        <row r="41">
          <cell r="E41" t="str">
            <v>Haiti</v>
          </cell>
          <cell r="F41">
            <v>0</v>
          </cell>
          <cell r="G41">
            <v>0</v>
          </cell>
          <cell r="H41" t="str">
            <v xml:space="preserve">n/a </v>
          </cell>
          <cell r="I41">
            <v>0</v>
          </cell>
          <cell r="J41" t="str">
            <v>Haiti</v>
          </cell>
          <cell r="K41" t="str">
            <v>No</v>
          </cell>
        </row>
        <row r="42">
          <cell r="E42" t="str">
            <v>Hawaii</v>
          </cell>
          <cell r="F42">
            <v>1656474</v>
          </cell>
          <cell r="G42">
            <v>307295</v>
          </cell>
          <cell r="H42">
            <v>0.2</v>
          </cell>
          <cell r="I42" t="e">
            <v>#REF!</v>
          </cell>
          <cell r="J42" t="str">
            <v>Hawaii</v>
          </cell>
          <cell r="K42" t="str">
            <v>Yes</v>
          </cell>
        </row>
        <row r="43">
          <cell r="E43" t="str">
            <v>Honduras</v>
          </cell>
          <cell r="F43">
            <v>0</v>
          </cell>
          <cell r="G43">
            <v>0</v>
          </cell>
          <cell r="H43" t="str">
            <v xml:space="preserve">n/a </v>
          </cell>
          <cell r="I43">
            <v>0</v>
          </cell>
          <cell r="J43" t="str">
            <v>Honduras</v>
          </cell>
          <cell r="K43" t="str">
            <v>No</v>
          </cell>
        </row>
        <row r="44">
          <cell r="E44" t="str">
            <v>Idaho</v>
          </cell>
          <cell r="F44">
            <v>543721</v>
          </cell>
          <cell r="G44">
            <v>90033</v>
          </cell>
          <cell r="H44">
            <v>0.21199999999999999</v>
          </cell>
          <cell r="I44" t="e">
            <v>#REF!</v>
          </cell>
          <cell r="J44" t="str">
            <v>Idaho</v>
          </cell>
          <cell r="K44" t="str">
            <v>Yes</v>
          </cell>
        </row>
        <row r="45">
          <cell r="E45" t="str">
            <v>Indianapolis</v>
          </cell>
          <cell r="F45">
            <v>2941835</v>
          </cell>
          <cell r="G45">
            <v>564367</v>
          </cell>
          <cell r="H45">
            <v>0.2</v>
          </cell>
          <cell r="I45" t="e">
            <v>#REF!</v>
          </cell>
          <cell r="J45" t="str">
            <v>Indianapolis</v>
          </cell>
          <cell r="K45" t="str">
            <v>Yes</v>
          </cell>
        </row>
        <row r="46">
          <cell r="E46" t="str">
            <v>Iowa</v>
          </cell>
          <cell r="F46">
            <v>1102677</v>
          </cell>
          <cell r="G46">
            <v>162119</v>
          </cell>
          <cell r="H46">
            <v>0.16500000000000001</v>
          </cell>
          <cell r="I46" t="e">
            <v>#REF!</v>
          </cell>
          <cell r="J46" t="str">
            <v>Iowa</v>
          </cell>
          <cell r="K46" t="str">
            <v>Yes</v>
          </cell>
        </row>
        <row r="47">
          <cell r="E47" t="str">
            <v>Kansas</v>
          </cell>
          <cell r="F47">
            <v>1486780</v>
          </cell>
          <cell r="G47">
            <v>273356</v>
          </cell>
          <cell r="H47">
            <v>0.2</v>
          </cell>
          <cell r="I47" t="e">
            <v>#REF!</v>
          </cell>
          <cell r="J47" t="str">
            <v>Kansas</v>
          </cell>
          <cell r="K47" t="str">
            <v>Yes</v>
          </cell>
        </row>
        <row r="48">
          <cell r="E48" t="str">
            <v>Kentucky</v>
          </cell>
          <cell r="F48">
            <v>1126010</v>
          </cell>
          <cell r="G48">
            <v>0</v>
          </cell>
          <cell r="H48">
            <v>0</v>
          </cell>
          <cell r="I48">
            <v>0</v>
          </cell>
          <cell r="J48" t="str">
            <v>Kentucky</v>
          </cell>
          <cell r="K48" t="str">
            <v>No</v>
          </cell>
        </row>
        <row r="49">
          <cell r="E49" t="str">
            <v>Lexington</v>
          </cell>
          <cell r="F49">
            <v>1185801</v>
          </cell>
          <cell r="G49">
            <v>213160</v>
          </cell>
          <cell r="H49">
            <v>0.2</v>
          </cell>
          <cell r="I49" t="e">
            <v>#REF!</v>
          </cell>
          <cell r="J49" t="str">
            <v>Lexington</v>
          </cell>
          <cell r="K49" t="str">
            <v>Yes</v>
          </cell>
        </row>
        <row r="50">
          <cell r="E50" t="str">
            <v>Long Island</v>
          </cell>
          <cell r="F50">
            <v>2799347</v>
          </cell>
          <cell r="G50">
            <v>535869</v>
          </cell>
          <cell r="H50">
            <v>0.2</v>
          </cell>
          <cell r="I50" t="e">
            <v>#REF!</v>
          </cell>
          <cell r="J50" t="str">
            <v>Long Island</v>
          </cell>
          <cell r="K50" t="str">
            <v>Yes</v>
          </cell>
        </row>
        <row r="51">
          <cell r="E51" t="str">
            <v>Los Angeles</v>
          </cell>
          <cell r="F51">
            <v>4001305</v>
          </cell>
          <cell r="G51">
            <v>780261</v>
          </cell>
          <cell r="H51">
            <v>0.20100000000000001</v>
          </cell>
          <cell r="I51" t="e">
            <v>#REF!</v>
          </cell>
          <cell r="J51" t="str">
            <v>Los Angeles</v>
          </cell>
          <cell r="K51" t="str">
            <v>No</v>
          </cell>
        </row>
        <row r="52">
          <cell r="E52" t="str">
            <v>Louisiana</v>
          </cell>
          <cell r="F52">
            <v>1279269</v>
          </cell>
          <cell r="G52">
            <v>132069</v>
          </cell>
          <cell r="H52">
            <v>0.114</v>
          </cell>
          <cell r="I52" t="e">
            <v>#REF!</v>
          </cell>
          <cell r="J52" t="str">
            <v>Louisiana</v>
          </cell>
          <cell r="K52" t="str">
            <v>No</v>
          </cell>
        </row>
        <row r="53">
          <cell r="E53" t="str">
            <v>Maine</v>
          </cell>
          <cell r="F53">
            <v>1918560</v>
          </cell>
          <cell r="G53">
            <v>359712</v>
          </cell>
          <cell r="H53">
            <v>0.2</v>
          </cell>
          <cell r="I53" t="e">
            <v>#REF!</v>
          </cell>
          <cell r="J53" t="str">
            <v>Maine</v>
          </cell>
          <cell r="K53" t="str">
            <v>Yes</v>
          </cell>
        </row>
        <row r="54">
          <cell r="E54" t="str">
            <v>Maryland</v>
          </cell>
          <cell r="F54">
            <v>2791319</v>
          </cell>
          <cell r="G54">
            <v>546142</v>
          </cell>
          <cell r="H54">
            <v>0.20399999999999999</v>
          </cell>
          <cell r="I54" t="e">
            <v>#REF!</v>
          </cell>
          <cell r="J54" t="str">
            <v>Maryland</v>
          </cell>
          <cell r="K54" t="str">
            <v>No</v>
          </cell>
        </row>
        <row r="55">
          <cell r="E55" t="str">
            <v>Massachusetts</v>
          </cell>
          <cell r="F55">
            <v>5574228</v>
          </cell>
          <cell r="G55">
            <v>1090848</v>
          </cell>
          <cell r="H55">
            <v>0.2</v>
          </cell>
          <cell r="I55" t="e">
            <v>#REF!</v>
          </cell>
          <cell r="J55" t="str">
            <v>Massachusetts</v>
          </cell>
          <cell r="K55" t="str">
            <v>Yes</v>
          </cell>
        </row>
        <row r="56">
          <cell r="E56" t="str">
            <v>Michigan</v>
          </cell>
          <cell r="F56">
            <v>2524727</v>
          </cell>
          <cell r="G56">
            <v>430316</v>
          </cell>
          <cell r="H56">
            <v>0.17899999999999999</v>
          </cell>
          <cell r="I56" t="e">
            <v>#REF!</v>
          </cell>
          <cell r="J56" t="str">
            <v>Michigan</v>
          </cell>
          <cell r="K56" t="str">
            <v>No</v>
          </cell>
        </row>
        <row r="57">
          <cell r="E57" t="str">
            <v>Milwaukee</v>
          </cell>
          <cell r="F57">
            <v>1321041</v>
          </cell>
          <cell r="G57">
            <v>240208</v>
          </cell>
          <cell r="H57">
            <v>0.2</v>
          </cell>
          <cell r="I57" t="e">
            <v>#REF!</v>
          </cell>
          <cell r="J57" t="str">
            <v>Milwaukee</v>
          </cell>
          <cell r="K57" t="str">
            <v>No</v>
          </cell>
        </row>
        <row r="58">
          <cell r="E58" t="str">
            <v>Minnesota</v>
          </cell>
          <cell r="F58">
            <v>2333849</v>
          </cell>
          <cell r="G58">
            <v>363836</v>
          </cell>
          <cell r="H58">
            <v>0.16400000000000001</v>
          </cell>
          <cell r="I58" t="e">
            <v>#REF!</v>
          </cell>
          <cell r="J58" t="str">
            <v>Minnesota</v>
          </cell>
          <cell r="K58" t="str">
            <v>No</v>
          </cell>
        </row>
        <row r="59">
          <cell r="E59" t="str">
            <v>Mississippi</v>
          </cell>
          <cell r="F59">
            <v>2858882</v>
          </cell>
          <cell r="G59">
            <v>291692</v>
          </cell>
          <cell r="H59">
            <v>0.107</v>
          </cell>
          <cell r="I59" t="e">
            <v>#REF!</v>
          </cell>
          <cell r="J59" t="str">
            <v>Mississippi</v>
          </cell>
          <cell r="K59" t="str">
            <v>Yes</v>
          </cell>
        </row>
        <row r="60">
          <cell r="E60" t="str">
            <v>Missouri</v>
          </cell>
          <cell r="F60">
            <v>2242108</v>
          </cell>
          <cell r="G60">
            <v>325000</v>
          </cell>
          <cell r="H60">
            <v>0.153</v>
          </cell>
          <cell r="I60" t="e">
            <v>#REF!</v>
          </cell>
          <cell r="J60" t="str">
            <v>Missouri</v>
          </cell>
          <cell r="K60" t="str">
            <v>Yes</v>
          </cell>
        </row>
        <row r="61">
          <cell r="E61" t="str">
            <v>Montana</v>
          </cell>
          <cell r="F61">
            <v>636653</v>
          </cell>
          <cell r="G61">
            <v>33796</v>
          </cell>
          <cell r="H61">
            <v>6.5000000000000002E-2</v>
          </cell>
          <cell r="I61" t="e">
            <v>#REF!</v>
          </cell>
          <cell r="J61" t="str">
            <v>Montana</v>
          </cell>
          <cell r="K61" t="str">
            <v>Yes</v>
          </cell>
        </row>
        <row r="62">
          <cell r="E62" t="str">
            <v>Navajoland Area Mission</v>
          </cell>
          <cell r="F62">
            <v>59764</v>
          </cell>
          <cell r="G62">
            <v>0</v>
          </cell>
          <cell r="H62">
            <v>0</v>
          </cell>
          <cell r="I62">
            <v>0</v>
          </cell>
          <cell r="J62" t="str">
            <v>Navajoland Area Mission</v>
          </cell>
          <cell r="K62" t="str">
            <v>No</v>
          </cell>
        </row>
        <row r="63">
          <cell r="E63" t="str">
            <v>Nebraska</v>
          </cell>
          <cell r="F63">
            <v>664538</v>
          </cell>
          <cell r="G63">
            <v>108908</v>
          </cell>
          <cell r="H63">
            <v>0.2</v>
          </cell>
          <cell r="I63" t="e">
            <v>#REF!</v>
          </cell>
          <cell r="J63" t="str">
            <v>Nebraska</v>
          </cell>
          <cell r="K63" t="str">
            <v>Yes</v>
          </cell>
        </row>
        <row r="64">
          <cell r="E64" t="str">
            <v>Nevada</v>
          </cell>
          <cell r="F64">
            <v>704930</v>
          </cell>
          <cell r="G64">
            <v>122835</v>
          </cell>
          <cell r="H64">
            <v>0.21</v>
          </cell>
          <cell r="I64" t="e">
            <v>#REF!</v>
          </cell>
          <cell r="J64" t="str">
            <v>Nevada</v>
          </cell>
          <cell r="K64" t="str">
            <v>No</v>
          </cell>
        </row>
        <row r="65">
          <cell r="E65" t="str">
            <v>New Hampshire</v>
          </cell>
          <cell r="F65">
            <v>1467793</v>
          </cell>
          <cell r="G65">
            <v>269558</v>
          </cell>
          <cell r="H65">
            <v>0.2</v>
          </cell>
          <cell r="I65" t="e">
            <v>#REF!</v>
          </cell>
          <cell r="J65" t="str">
            <v>New Hampshire</v>
          </cell>
          <cell r="K65" t="str">
            <v>Yes</v>
          </cell>
        </row>
        <row r="66">
          <cell r="E66" t="str">
            <v>New Jersey</v>
          </cell>
          <cell r="F66">
            <v>3841005</v>
          </cell>
          <cell r="G66">
            <v>596028</v>
          </cell>
          <cell r="H66">
            <v>0.16</v>
          </cell>
          <cell r="I66" t="e">
            <v>#REF!</v>
          </cell>
          <cell r="J66" t="str">
            <v>New Jersey</v>
          </cell>
          <cell r="K66" t="str">
            <v>No</v>
          </cell>
        </row>
        <row r="67">
          <cell r="E67" t="str">
            <v>New York</v>
          </cell>
          <cell r="F67">
            <v>5009393</v>
          </cell>
          <cell r="G67">
            <v>700000</v>
          </cell>
          <cell r="H67">
            <v>0.14299999999999999</v>
          </cell>
          <cell r="I67" t="e">
            <v>#REF!</v>
          </cell>
          <cell r="J67" t="str">
            <v>New York</v>
          </cell>
          <cell r="K67" t="str">
            <v>Yes</v>
          </cell>
        </row>
        <row r="68">
          <cell r="E68" t="str">
            <v>Newark</v>
          </cell>
          <cell r="F68">
            <v>2581016</v>
          </cell>
          <cell r="G68">
            <v>456752</v>
          </cell>
          <cell r="H68">
            <v>0.186</v>
          </cell>
          <cell r="I68" t="e">
            <v>#REF!</v>
          </cell>
          <cell r="J68" t="str">
            <v>Newark</v>
          </cell>
          <cell r="K68" t="str">
            <v>No</v>
          </cell>
        </row>
        <row r="69">
          <cell r="E69" t="str">
            <v>North Carolina</v>
          </cell>
          <cell r="F69">
            <v>3635586</v>
          </cell>
          <cell r="G69">
            <v>703117</v>
          </cell>
          <cell r="H69">
            <v>0.2</v>
          </cell>
          <cell r="I69" t="e">
            <v>#REF!</v>
          </cell>
          <cell r="J69" t="str">
            <v>North Carolina</v>
          </cell>
          <cell r="K69" t="str">
            <v>Yes</v>
          </cell>
        </row>
        <row r="70">
          <cell r="E70" t="str">
            <v>North Dakota</v>
          </cell>
          <cell r="F70">
            <v>518120</v>
          </cell>
          <cell r="G70">
            <v>42201</v>
          </cell>
          <cell r="H70">
            <v>0.106</v>
          </cell>
          <cell r="I70" t="e">
            <v>#REF!</v>
          </cell>
          <cell r="J70" t="str">
            <v>North Dakota</v>
          </cell>
          <cell r="K70" t="str">
            <v>Yes</v>
          </cell>
        </row>
        <row r="71">
          <cell r="E71" t="str">
            <v>Northern California</v>
          </cell>
          <cell r="F71">
            <v>1904540</v>
          </cell>
          <cell r="G71">
            <v>345975</v>
          </cell>
          <cell r="H71">
            <v>0.19400000000000001</v>
          </cell>
          <cell r="I71" t="e">
            <v>#REF!</v>
          </cell>
          <cell r="J71" t="str">
            <v>Northern California</v>
          </cell>
          <cell r="K71" t="str">
            <v>Yes</v>
          </cell>
        </row>
        <row r="72">
          <cell r="E72" t="str">
            <v>Northern Indiana</v>
          </cell>
          <cell r="F72" t="str">
            <v xml:space="preserve">No Report </v>
          </cell>
          <cell r="G72">
            <v>70482</v>
          </cell>
          <cell r="H72" t="str">
            <v xml:space="preserve">n/a </v>
          </cell>
          <cell r="I72" t="e">
            <v>#REF!</v>
          </cell>
          <cell r="J72" t="str">
            <v>Northern Indiana</v>
          </cell>
          <cell r="K72" t="str">
            <v>Yes</v>
          </cell>
        </row>
        <row r="73">
          <cell r="E73" t="str">
            <v>Northern Michigan</v>
          </cell>
          <cell r="F73" t="str">
            <v xml:space="preserve">No Report </v>
          </cell>
          <cell r="G73">
            <v>50000</v>
          </cell>
          <cell r="H73" t="str">
            <v xml:space="preserve">n/a </v>
          </cell>
          <cell r="I73" t="e">
            <v>#REF!</v>
          </cell>
          <cell r="J73" t="str">
            <v>Northern Michigan</v>
          </cell>
          <cell r="K73" t="str">
            <v>No</v>
          </cell>
        </row>
        <row r="74">
          <cell r="E74" t="str">
            <v>Northwest Texas</v>
          </cell>
          <cell r="F74" t="str">
            <v xml:space="preserve">No Report </v>
          </cell>
          <cell r="G74">
            <v>93148</v>
          </cell>
          <cell r="H74" t="str">
            <v xml:space="preserve">n/a </v>
          </cell>
          <cell r="I74" t="e">
            <v>#REF!</v>
          </cell>
          <cell r="J74" t="str">
            <v>Northwest Texas</v>
          </cell>
          <cell r="K74" t="str">
            <v>Yes</v>
          </cell>
        </row>
        <row r="75">
          <cell r="E75" t="str">
            <v>Northwestern Pennsylvania</v>
          </cell>
          <cell r="F75">
            <v>785575</v>
          </cell>
          <cell r="G75">
            <v>127280</v>
          </cell>
          <cell r="H75">
            <v>0.191</v>
          </cell>
          <cell r="I75" t="e">
            <v>#REF!</v>
          </cell>
          <cell r="J75" t="str">
            <v>Northwestern Pennsylvania</v>
          </cell>
          <cell r="K75" t="str">
            <v>No</v>
          </cell>
        </row>
        <row r="76">
          <cell r="E76" t="str">
            <v>Ohio</v>
          </cell>
          <cell r="F76">
            <v>2844656</v>
          </cell>
          <cell r="G76">
            <v>544900</v>
          </cell>
          <cell r="H76">
            <v>0.2</v>
          </cell>
          <cell r="I76" t="e">
            <v>#REF!</v>
          </cell>
          <cell r="J76" t="str">
            <v>Ohio</v>
          </cell>
          <cell r="K76" t="str">
            <v>No</v>
          </cell>
        </row>
        <row r="77">
          <cell r="E77" t="str">
            <v>Oklahoma</v>
          </cell>
          <cell r="F77">
            <v>1889173</v>
          </cell>
          <cell r="G77">
            <v>353835</v>
          </cell>
          <cell r="H77">
            <v>0.2</v>
          </cell>
          <cell r="I77" t="e">
            <v>#REF!</v>
          </cell>
          <cell r="J77" t="str">
            <v>Oklahoma</v>
          </cell>
          <cell r="K77" t="str">
            <v>Yes</v>
          </cell>
        </row>
        <row r="78">
          <cell r="E78" t="str">
            <v>Olympia</v>
          </cell>
          <cell r="F78">
            <v>3115551</v>
          </cell>
          <cell r="G78">
            <v>599110</v>
          </cell>
          <cell r="H78">
            <v>0.2</v>
          </cell>
          <cell r="I78" t="e">
            <v>#REF!</v>
          </cell>
          <cell r="J78" t="str">
            <v>Olympia</v>
          </cell>
          <cell r="K78" t="str">
            <v>Yes</v>
          </cell>
        </row>
        <row r="79">
          <cell r="E79" t="str">
            <v>Oregon</v>
          </cell>
          <cell r="F79">
            <v>1770607</v>
          </cell>
          <cell r="G79">
            <v>338000</v>
          </cell>
          <cell r="H79">
            <v>0.20499999999999999</v>
          </cell>
          <cell r="I79" t="e">
            <v>#REF!</v>
          </cell>
          <cell r="J79" t="str">
            <v>Oregon</v>
          </cell>
          <cell r="K79" t="str">
            <v>No</v>
          </cell>
        </row>
        <row r="80">
          <cell r="E80" t="str">
            <v>Pennsylvania</v>
          </cell>
          <cell r="F80">
            <v>5096622</v>
          </cell>
          <cell r="G80">
            <v>115076</v>
          </cell>
          <cell r="H80">
            <v>2.3E-2</v>
          </cell>
          <cell r="I80" t="e">
            <v>#REF!</v>
          </cell>
          <cell r="J80" t="str">
            <v>Pennsylvania</v>
          </cell>
          <cell r="K80" t="str">
            <v>No</v>
          </cell>
        </row>
        <row r="81">
          <cell r="E81" t="str">
            <v>Pittsburgh</v>
          </cell>
          <cell r="F81">
            <v>637538</v>
          </cell>
          <cell r="G81">
            <v>100000</v>
          </cell>
          <cell r="H81">
            <v>0.193</v>
          </cell>
          <cell r="I81" t="e">
            <v>#REF!</v>
          </cell>
          <cell r="J81" t="str">
            <v>Pittsburgh</v>
          </cell>
          <cell r="K81" t="str">
            <v>No</v>
          </cell>
        </row>
        <row r="82">
          <cell r="E82" t="str">
            <v>Puerto Rico</v>
          </cell>
          <cell r="F82">
            <v>0</v>
          </cell>
          <cell r="G82">
            <v>0</v>
          </cell>
          <cell r="H82" t="str">
            <v xml:space="preserve">n/a </v>
          </cell>
          <cell r="I82">
            <v>0</v>
          </cell>
          <cell r="J82" t="str">
            <v>Puerto Rico</v>
          </cell>
          <cell r="K82" t="str">
            <v>No</v>
          </cell>
        </row>
        <row r="83">
          <cell r="E83" t="str">
            <v>Quincy</v>
          </cell>
          <cell r="F83">
            <v>87930</v>
          </cell>
          <cell r="G83">
            <v>42000</v>
          </cell>
          <cell r="H83" t="str">
            <v xml:space="preserve">n/a </v>
          </cell>
          <cell r="I83" t="e">
            <v>#REF!</v>
          </cell>
          <cell r="J83" t="str">
            <v>Quincy</v>
          </cell>
          <cell r="K83" t="str">
            <v>No</v>
          </cell>
        </row>
        <row r="84">
          <cell r="E84" t="str">
            <v>Rhode Island</v>
          </cell>
          <cell r="F84">
            <v>2478943</v>
          </cell>
          <cell r="G84">
            <v>471789</v>
          </cell>
          <cell r="H84">
            <v>0.2</v>
          </cell>
          <cell r="I84" t="e">
            <v>#REF!</v>
          </cell>
          <cell r="J84" t="str">
            <v>Rhode Island</v>
          </cell>
          <cell r="K84" t="str">
            <v>Yes</v>
          </cell>
        </row>
        <row r="85">
          <cell r="E85" t="str">
            <v>Rio Grande</v>
          </cell>
          <cell r="F85">
            <v>1259399</v>
          </cell>
          <cell r="G85">
            <v>35000</v>
          </cell>
          <cell r="H85">
            <v>3.1E-2</v>
          </cell>
          <cell r="I85" t="e">
            <v>#REF!</v>
          </cell>
          <cell r="J85" t="str">
            <v>Rio Grande</v>
          </cell>
          <cell r="K85" t="str">
            <v>No</v>
          </cell>
        </row>
        <row r="86">
          <cell r="E86" t="str">
            <v>Rochester</v>
          </cell>
          <cell r="F86">
            <v>1094085</v>
          </cell>
          <cell r="G86">
            <v>194817</v>
          </cell>
          <cell r="H86">
            <v>0.2</v>
          </cell>
          <cell r="I86" t="e">
            <v>#REF!</v>
          </cell>
          <cell r="J86" t="str">
            <v>Rochester</v>
          </cell>
          <cell r="K86" t="str">
            <v>Yes</v>
          </cell>
        </row>
        <row r="87">
          <cell r="E87" t="str">
            <v>San Diego</v>
          </cell>
          <cell r="F87">
            <v>2330730</v>
          </cell>
          <cell r="G87">
            <v>0</v>
          </cell>
          <cell r="H87">
            <v>0</v>
          </cell>
          <cell r="I87">
            <v>0</v>
          </cell>
          <cell r="J87" t="str">
            <v>San Diego</v>
          </cell>
          <cell r="K87" t="str">
            <v>No</v>
          </cell>
        </row>
        <row r="88">
          <cell r="E88" t="str">
            <v>San Joaquin</v>
          </cell>
          <cell r="F88">
            <v>238911</v>
          </cell>
          <cell r="G88">
            <v>3000</v>
          </cell>
          <cell r="H88">
            <v>2.5000000000000001E-2</v>
          </cell>
          <cell r="I88" t="e">
            <v>#REF!</v>
          </cell>
          <cell r="J88" t="str">
            <v>San Joaquin</v>
          </cell>
          <cell r="K88" t="str">
            <v>No</v>
          </cell>
        </row>
        <row r="89">
          <cell r="E89" t="str">
            <v>South Carolina</v>
          </cell>
          <cell r="F89">
            <v>5504006</v>
          </cell>
          <cell r="G89">
            <v>0</v>
          </cell>
          <cell r="H89">
            <v>0</v>
          </cell>
          <cell r="I89">
            <v>0</v>
          </cell>
          <cell r="J89" t="str">
            <v>South Carolina</v>
          </cell>
          <cell r="K89" t="str">
            <v>No</v>
          </cell>
        </row>
        <row r="90">
          <cell r="E90" t="str">
            <v>South Dakota</v>
          </cell>
          <cell r="F90">
            <v>644528</v>
          </cell>
          <cell r="G90">
            <v>27226</v>
          </cell>
          <cell r="H90">
            <v>5.1999999999999998E-2</v>
          </cell>
          <cell r="I90" t="e">
            <v>#REF!</v>
          </cell>
          <cell r="J90" t="str">
            <v>South Dakota</v>
          </cell>
          <cell r="K90" t="str">
            <v>No</v>
          </cell>
        </row>
        <row r="91">
          <cell r="E91" t="str">
            <v>Southeast Florida</v>
          </cell>
          <cell r="F91">
            <v>3113919</v>
          </cell>
          <cell r="G91">
            <v>385000</v>
          </cell>
          <cell r="H91">
            <v>0.129</v>
          </cell>
          <cell r="I91" t="e">
            <v>#REF!</v>
          </cell>
          <cell r="J91" t="str">
            <v>Southeast Florida</v>
          </cell>
          <cell r="K91" t="str">
            <v>Yes</v>
          </cell>
        </row>
        <row r="92">
          <cell r="E92" t="str">
            <v>Southern Ohio</v>
          </cell>
          <cell r="F92">
            <v>4952288</v>
          </cell>
          <cell r="G92">
            <v>748624</v>
          </cell>
          <cell r="H92">
            <v>0.155</v>
          </cell>
          <cell r="I92" t="e">
            <v>#REF!</v>
          </cell>
          <cell r="J92" t="str">
            <v>Southern Ohio</v>
          </cell>
          <cell r="K92" t="str">
            <v>Yes</v>
          </cell>
        </row>
        <row r="93">
          <cell r="E93" t="str">
            <v>Southern Virginia</v>
          </cell>
          <cell r="F93">
            <v>2134040</v>
          </cell>
          <cell r="G93">
            <v>120000</v>
          </cell>
          <cell r="H93">
            <v>0.06</v>
          </cell>
          <cell r="I93" t="e">
            <v>#REF!</v>
          </cell>
          <cell r="J93" t="str">
            <v>Southern Virginia</v>
          </cell>
          <cell r="K93" t="str">
            <v>Yes</v>
          </cell>
        </row>
        <row r="94">
          <cell r="E94" t="str">
            <v>Southwest Florida</v>
          </cell>
          <cell r="F94">
            <v>2453075</v>
          </cell>
          <cell r="G94">
            <v>410000</v>
          </cell>
          <cell r="H94">
            <v>0.17599999999999999</v>
          </cell>
          <cell r="I94" t="e">
            <v>#REF!</v>
          </cell>
          <cell r="J94" t="str">
            <v>Southwest Florida</v>
          </cell>
          <cell r="K94" t="str">
            <v>No</v>
          </cell>
        </row>
        <row r="95">
          <cell r="E95" t="str">
            <v>Southwestern Virginia</v>
          </cell>
          <cell r="F95">
            <v>1089321</v>
          </cell>
          <cell r="G95">
            <v>135000</v>
          </cell>
          <cell r="H95">
            <v>0.13900000000000001</v>
          </cell>
          <cell r="I95" t="e">
            <v>#REF!</v>
          </cell>
          <cell r="J95" t="str">
            <v>Southwestern Virginia</v>
          </cell>
          <cell r="K95" t="str">
            <v>No</v>
          </cell>
        </row>
        <row r="96">
          <cell r="E96" t="str">
            <v>Spokane</v>
          </cell>
          <cell r="F96">
            <v>876635</v>
          </cell>
          <cell r="G96">
            <v>151327</v>
          </cell>
          <cell r="H96">
            <v>0.2</v>
          </cell>
          <cell r="I96" t="e">
            <v>#REF!</v>
          </cell>
          <cell r="J96" t="str">
            <v>Spokane</v>
          </cell>
          <cell r="K96" t="str">
            <v>No</v>
          </cell>
        </row>
        <row r="97">
          <cell r="E97" t="str">
            <v>Springfield</v>
          </cell>
          <cell r="F97">
            <v>723325</v>
          </cell>
          <cell r="G97">
            <v>0</v>
          </cell>
          <cell r="H97">
            <v>0</v>
          </cell>
          <cell r="I97">
            <v>0</v>
          </cell>
          <cell r="J97" t="str">
            <v>Springfield</v>
          </cell>
          <cell r="K97" t="str">
            <v>No</v>
          </cell>
        </row>
        <row r="98">
          <cell r="E98" t="str">
            <v>Taiwan</v>
          </cell>
          <cell r="F98">
            <v>0</v>
          </cell>
          <cell r="G98">
            <v>0</v>
          </cell>
          <cell r="H98" t="str">
            <v xml:space="preserve">n/a </v>
          </cell>
          <cell r="I98">
            <v>0</v>
          </cell>
          <cell r="J98" t="str">
            <v>Taiwan</v>
          </cell>
          <cell r="K98" t="str">
            <v>No</v>
          </cell>
        </row>
        <row r="99">
          <cell r="E99" t="str">
            <v>Tennessee</v>
          </cell>
          <cell r="F99">
            <v>1579800</v>
          </cell>
          <cell r="G99">
            <v>99806</v>
          </cell>
          <cell r="H99">
            <v>6.8000000000000005E-2</v>
          </cell>
          <cell r="I99" t="e">
            <v>#REF!</v>
          </cell>
          <cell r="J99" t="str">
            <v>Tennessee</v>
          </cell>
          <cell r="K99" t="str">
            <v>Yes</v>
          </cell>
        </row>
        <row r="100">
          <cell r="E100" t="str">
            <v>Texas</v>
          </cell>
          <cell r="F100">
            <v>8973046</v>
          </cell>
          <cell r="G100">
            <v>404638</v>
          </cell>
          <cell r="H100">
            <v>4.5999999999999999E-2</v>
          </cell>
          <cell r="I100" t="e">
            <v>#REF!</v>
          </cell>
          <cell r="J100" t="str">
            <v>Texas</v>
          </cell>
          <cell r="K100" t="str">
            <v>No</v>
          </cell>
        </row>
        <row r="101">
          <cell r="E101" t="str">
            <v>Upper South Carolina</v>
          </cell>
          <cell r="F101">
            <v>2224474</v>
          </cell>
          <cell r="G101">
            <v>419181</v>
          </cell>
          <cell r="H101">
            <v>0.19900000000000001</v>
          </cell>
          <cell r="I101" t="e">
            <v>#REF!</v>
          </cell>
          <cell r="J101" t="str">
            <v>Upper South Carolina</v>
          </cell>
          <cell r="K101" t="str">
            <v>No</v>
          </cell>
        </row>
        <row r="102">
          <cell r="E102" t="str">
            <v>Utah</v>
          </cell>
          <cell r="F102">
            <v>2819823</v>
          </cell>
          <cell r="G102">
            <v>539565</v>
          </cell>
          <cell r="H102">
            <v>0.2</v>
          </cell>
          <cell r="I102" t="e">
            <v>#REF!</v>
          </cell>
          <cell r="J102" t="str">
            <v>Utah</v>
          </cell>
          <cell r="K102" t="str">
            <v>Yes</v>
          </cell>
        </row>
        <row r="103">
          <cell r="E103" t="str">
            <v>Venezuela</v>
          </cell>
          <cell r="F103">
            <v>0</v>
          </cell>
          <cell r="G103">
            <v>0</v>
          </cell>
          <cell r="H103" t="str">
            <v xml:space="preserve">n/a </v>
          </cell>
          <cell r="I103">
            <v>0</v>
          </cell>
          <cell r="J103" t="str">
            <v>Venezuela</v>
          </cell>
          <cell r="K103" t="str">
            <v>No</v>
          </cell>
        </row>
        <row r="104">
          <cell r="E104" t="str">
            <v>Vermont</v>
          </cell>
          <cell r="F104">
            <v>1211313</v>
          </cell>
          <cell r="G104">
            <v>185525</v>
          </cell>
          <cell r="H104">
            <v>0.17</v>
          </cell>
          <cell r="I104" t="e">
            <v>#REF!</v>
          </cell>
          <cell r="J104" t="str">
            <v>Vermont</v>
          </cell>
          <cell r="K104" t="str">
            <v>No</v>
          </cell>
        </row>
        <row r="105">
          <cell r="E105" t="str">
            <v>Virgin Islands</v>
          </cell>
          <cell r="F105">
            <v>380987</v>
          </cell>
          <cell r="G105">
            <v>71013</v>
          </cell>
          <cell r="H105">
            <v>0.27200000000000002</v>
          </cell>
          <cell r="I105" t="e">
            <v>#REF!</v>
          </cell>
          <cell r="J105" t="str">
            <v>Virgin Islands</v>
          </cell>
          <cell r="K105" t="str">
            <v>Yes</v>
          </cell>
        </row>
        <row r="106">
          <cell r="E106" t="str">
            <v>Virginia</v>
          </cell>
          <cell r="F106">
            <v>5076128</v>
          </cell>
          <cell r="G106">
            <v>847874</v>
          </cell>
          <cell r="H106">
            <v>0.17100000000000001</v>
          </cell>
          <cell r="I106" t="e">
            <v>#REF!</v>
          </cell>
          <cell r="J106" t="str">
            <v>Virginia</v>
          </cell>
          <cell r="K106" t="str">
            <v>No</v>
          </cell>
        </row>
        <row r="107">
          <cell r="E107" t="str">
            <v>Washington</v>
          </cell>
          <cell r="F107">
            <v>3744725</v>
          </cell>
          <cell r="G107">
            <v>0</v>
          </cell>
          <cell r="H107">
            <v>0</v>
          </cell>
          <cell r="I107">
            <v>0</v>
          </cell>
          <cell r="J107" t="str">
            <v>Washington</v>
          </cell>
          <cell r="K107" t="str">
            <v>No</v>
          </cell>
        </row>
        <row r="108">
          <cell r="E108" t="str">
            <v>West Missouri</v>
          </cell>
          <cell r="F108">
            <v>1755352</v>
          </cell>
          <cell r="G108">
            <v>291135</v>
          </cell>
          <cell r="H108">
            <v>0.17799999999999999</v>
          </cell>
          <cell r="I108" t="e">
            <v>#REF!</v>
          </cell>
          <cell r="J108" t="str">
            <v>West Missouri</v>
          </cell>
          <cell r="K108" t="str">
            <v>Yes</v>
          </cell>
        </row>
        <row r="109">
          <cell r="E109" t="str">
            <v>West Tennessee</v>
          </cell>
          <cell r="F109">
            <v>1491275</v>
          </cell>
          <cell r="G109">
            <v>124505</v>
          </cell>
          <cell r="H109">
            <v>9.0999999999999998E-2</v>
          </cell>
          <cell r="I109" t="e">
            <v>#REF!</v>
          </cell>
          <cell r="J109" t="str">
            <v>West Tennessee</v>
          </cell>
          <cell r="K109" t="str">
            <v>No</v>
          </cell>
        </row>
        <row r="110">
          <cell r="E110" t="str">
            <v>West Texas</v>
          </cell>
          <cell r="F110">
            <v>4114978</v>
          </cell>
          <cell r="G110">
            <v>115773</v>
          </cell>
          <cell r="H110">
            <v>2.9000000000000001E-2</v>
          </cell>
          <cell r="I110" t="e">
            <v>#REF!</v>
          </cell>
          <cell r="J110" t="str">
            <v>West Texas</v>
          </cell>
          <cell r="K110" t="str">
            <v>No</v>
          </cell>
        </row>
        <row r="111">
          <cell r="E111" t="str">
            <v>West Virginia</v>
          </cell>
          <cell r="F111">
            <v>1907526</v>
          </cell>
          <cell r="G111">
            <v>155000</v>
          </cell>
          <cell r="H111">
            <v>8.6999999999999994E-2</v>
          </cell>
          <cell r="I111" t="e">
            <v>#REF!</v>
          </cell>
          <cell r="J111" t="str">
            <v>West Virginia</v>
          </cell>
          <cell r="K111" t="str">
            <v>Yes</v>
          </cell>
        </row>
        <row r="112">
          <cell r="E112" t="str">
            <v>Western Kansas</v>
          </cell>
          <cell r="F112">
            <v>328719</v>
          </cell>
          <cell r="G112">
            <v>10000</v>
          </cell>
          <cell r="H112">
            <v>4.8000000000000001E-2</v>
          </cell>
          <cell r="I112" t="e">
            <v>#REF!</v>
          </cell>
          <cell r="J112" t="str">
            <v>Western Kansas</v>
          </cell>
          <cell r="K112" t="str">
            <v>Yes</v>
          </cell>
        </row>
        <row r="113">
          <cell r="E113" t="str">
            <v>Western Louisiana</v>
          </cell>
          <cell r="F113">
            <v>1400508</v>
          </cell>
          <cell r="G113">
            <v>133070</v>
          </cell>
          <cell r="H113">
            <v>0.104</v>
          </cell>
          <cell r="I113" t="e">
            <v>#REF!</v>
          </cell>
          <cell r="J113" t="str">
            <v>Western Louisiana</v>
          </cell>
          <cell r="K113" t="str">
            <v>Yes</v>
          </cell>
        </row>
        <row r="114">
          <cell r="E114" t="str">
            <v>Western Massachusetts</v>
          </cell>
          <cell r="F114">
            <v>2012153</v>
          </cell>
          <cell r="G114">
            <v>340587</v>
          </cell>
          <cell r="H114">
            <v>0.18</v>
          </cell>
          <cell r="I114" t="e">
            <v>#REF!</v>
          </cell>
          <cell r="J114" t="str">
            <v>Western Massachusetts</v>
          </cell>
          <cell r="K114" t="str">
            <v>Yes</v>
          </cell>
        </row>
        <row r="115">
          <cell r="E115" t="str">
            <v>Western Michigan</v>
          </cell>
          <cell r="F115">
            <v>824516</v>
          </cell>
          <cell r="G115">
            <v>140904</v>
          </cell>
          <cell r="H115">
            <v>0.2</v>
          </cell>
          <cell r="I115" t="e">
            <v>#REF!</v>
          </cell>
          <cell r="J115" t="str">
            <v>Western Michigan</v>
          </cell>
          <cell r="K115" t="str">
            <v>Yes</v>
          </cell>
        </row>
        <row r="116">
          <cell r="E116" t="str">
            <v>Western New York</v>
          </cell>
          <cell r="F116">
            <v>746671</v>
          </cell>
          <cell r="G116">
            <v>0</v>
          </cell>
          <cell r="H116">
            <v>0</v>
          </cell>
          <cell r="I116">
            <v>0</v>
          </cell>
          <cell r="J116" t="str">
            <v>Western New York</v>
          </cell>
          <cell r="K116" t="str">
            <v>No</v>
          </cell>
        </row>
        <row r="117">
          <cell r="E117" t="str">
            <v>Western North Carolina</v>
          </cell>
          <cell r="F117">
            <v>1557034</v>
          </cell>
          <cell r="G117">
            <v>258666</v>
          </cell>
          <cell r="H117">
            <v>0.18</v>
          </cell>
          <cell r="I117" t="e">
            <v>#REF!</v>
          </cell>
          <cell r="J117" t="str">
            <v>Western North Carolina</v>
          </cell>
          <cell r="K117" t="str">
            <v>No</v>
          </cell>
        </row>
        <row r="118">
          <cell r="E118" t="str">
            <v>Wyoming</v>
          </cell>
          <cell r="F118">
            <v>1164530</v>
          </cell>
          <cell r="G118">
            <v>207906</v>
          </cell>
          <cell r="H118">
            <v>0.19900000000000001</v>
          </cell>
          <cell r="I118" t="e">
            <v>#REF!</v>
          </cell>
          <cell r="J118" t="str">
            <v>Wyoming</v>
          </cell>
          <cell r="K118" t="str">
            <v>Yes</v>
          </cell>
        </row>
      </sheetData>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lide 2022"/>
      <sheetName val="Slide 2023 2024"/>
      <sheetName val="EVANGELISM"/>
      <sheetName val="REC &amp; JUST"/>
      <sheetName val="CREATION CARE"/>
      <sheetName val="PB Ministry"/>
      <sheetName val="MISSION WITHIN"/>
      <sheetName val="MISSION BEYOND"/>
      <sheetName val="Governance"/>
      <sheetName val="Fin Legal Oper"/>
      <sheetName val="Salary Summary 21 for 2022-2024"/>
      <sheetName val="Staff Details 2022-2024"/>
      <sheetName val="debt costs"/>
      <sheetName val="div"/>
      <sheetName val="rent 2022-2024"/>
      <sheetName val="rent sched 2022"/>
      <sheetName val="Salary Summary 20 for 2019-2021"/>
      <sheetName val="Staff Details Aug 20 for 19-21"/>
      <sheetName val="Salary Summary 19 for 2019-2021"/>
      <sheetName val="2019 act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73">
          <cell r="T173">
            <v>34608</v>
          </cell>
          <cell r="AF173">
            <v>35749.359479999999</v>
          </cell>
          <cell r="AR173">
            <v>36715.627199999995</v>
          </cell>
        </row>
        <row r="186">
          <cell r="J186">
            <v>444782.68663300003</v>
          </cell>
          <cell r="M186">
            <v>140267.27115861667</v>
          </cell>
          <cell r="T186">
            <v>703601.01915911958</v>
          </cell>
          <cell r="V186">
            <v>458126.16723199002</v>
          </cell>
          <cell r="Y186">
            <v>147280.6347165475</v>
          </cell>
          <cell r="AF186">
            <v>727075.59886996937</v>
          </cell>
          <cell r="AH186">
            <v>471869.95224894979</v>
          </cell>
          <cell r="AK186">
            <v>153171.8601052094</v>
          </cell>
          <cell r="AR186">
            <v>750628.67394694313</v>
          </cell>
        </row>
        <row r="187">
          <cell r="J187">
            <v>608047.540395997</v>
          </cell>
          <cell r="M187">
            <v>166333.44000000003</v>
          </cell>
          <cell r="T187">
            <v>905902.44223633094</v>
          </cell>
          <cell r="V187">
            <v>626288.96660787694</v>
          </cell>
          <cell r="Y187">
            <v>174650.11200000002</v>
          </cell>
          <cell r="AF187">
            <v>935800.71228255995</v>
          </cell>
          <cell r="AH187">
            <v>645077.63560611324</v>
          </cell>
          <cell r="AK187">
            <v>181636.11648000003</v>
          </cell>
          <cell r="AR187">
            <v>965951.43357409746</v>
          </cell>
        </row>
        <row r="188">
          <cell r="J188">
            <v>423454.47941400006</v>
          </cell>
          <cell r="M188">
            <v>48863.360000000001</v>
          </cell>
          <cell r="T188">
            <v>582546.08968040161</v>
          </cell>
          <cell r="V188">
            <v>436158.11379642005</v>
          </cell>
          <cell r="Y188">
            <v>51306.528000000006</v>
          </cell>
          <cell r="AF188">
            <v>601601.61470822652</v>
          </cell>
          <cell r="AH188">
            <v>449242.85721031268</v>
          </cell>
          <cell r="AK188">
            <v>53358.789120000001</v>
          </cell>
          <cell r="AR188">
            <v>620440.53260095289</v>
          </cell>
        </row>
        <row r="189">
          <cell r="J189">
            <v>327961.10025599995</v>
          </cell>
          <cell r="M189">
            <v>126461.42080000001</v>
          </cell>
          <cell r="T189">
            <v>533172.35597359284</v>
          </cell>
          <cell r="V189">
            <v>337799.93326367997</v>
          </cell>
          <cell r="Y189">
            <v>130706.82400000001</v>
          </cell>
          <cell r="AF189">
            <v>555432.77964907733</v>
          </cell>
          <cell r="AH189">
            <v>347933.93126159039</v>
          </cell>
          <cell r="AK189">
            <v>135935.09696000002</v>
          </cell>
          <cell r="AR189">
            <v>573613.26106630836</v>
          </cell>
        </row>
        <row r="190">
          <cell r="J190">
            <v>1667801.9331358001</v>
          </cell>
          <cell r="M190">
            <v>434750.48</v>
          </cell>
          <cell r="T190">
            <v>2469311.4112935555</v>
          </cell>
          <cell r="V190">
            <v>1784135.991129874</v>
          </cell>
          <cell r="Y190">
            <v>486318.00399999996</v>
          </cell>
          <cell r="AF190">
            <v>2658895.194997706</v>
          </cell>
          <cell r="AH190">
            <v>1837660.0708637703</v>
          </cell>
          <cell r="AK190">
            <v>505770.72416000022</v>
          </cell>
          <cell r="AR190">
            <v>2745512.4584583747</v>
          </cell>
        </row>
        <row r="191">
          <cell r="J191">
            <v>666737.07312984008</v>
          </cell>
          <cell r="M191">
            <v>249873.97760000001</v>
          </cell>
          <cell r="T191">
            <v>1065582.776997911</v>
          </cell>
          <cell r="V191">
            <v>686739.18532373523</v>
          </cell>
          <cell r="Y191">
            <v>258967.40000000002</v>
          </cell>
          <cell r="AF191">
            <v>1098461.6803990018</v>
          </cell>
          <cell r="AH191">
            <v>707341.36088344723</v>
          </cell>
          <cell r="AK191">
            <v>269326.09600000008</v>
          </cell>
          <cell r="AR191">
            <v>1134378.9230452438</v>
          </cell>
        </row>
        <row r="192">
          <cell r="J192">
            <v>69558.990000000005</v>
          </cell>
          <cell r="M192">
            <v>7280</v>
          </cell>
          <cell r="T192">
            <v>91872.727843400018</v>
          </cell>
          <cell r="V192">
            <v>71645.75970000001</v>
          </cell>
          <cell r="Y192">
            <v>6825</v>
          </cell>
          <cell r="AF192">
            <v>93643.963318350026</v>
          </cell>
          <cell r="AH192">
            <v>73795.132491000011</v>
          </cell>
          <cell r="AK192">
            <v>7098</v>
          </cell>
          <cell r="AR192">
            <v>96564.116518593655</v>
          </cell>
        </row>
        <row r="193">
          <cell r="J193">
            <v>655642.14104000002</v>
          </cell>
          <cell r="M193">
            <v>112577.92</v>
          </cell>
          <cell r="T193">
            <v>914163.96481252159</v>
          </cell>
          <cell r="V193">
            <v>675311.40527120011</v>
          </cell>
          <cell r="Y193">
            <v>118206.81600000002</v>
          </cell>
          <cell r="AF193">
            <v>940549.85729292291</v>
          </cell>
          <cell r="AH193">
            <v>695570.74742933607</v>
          </cell>
          <cell r="AK193">
            <v>122935.08864</v>
          </cell>
          <cell r="AR193">
            <v>970338.25393975689</v>
          </cell>
        </row>
        <row r="194">
          <cell r="J194">
            <v>0</v>
          </cell>
          <cell r="M194">
            <v>0</v>
          </cell>
          <cell r="T194">
            <v>0</v>
          </cell>
          <cell r="V194">
            <v>0</v>
          </cell>
          <cell r="Y194">
            <v>0</v>
          </cell>
          <cell r="AF194">
            <v>0</v>
          </cell>
          <cell r="AH194">
            <v>0</v>
          </cell>
          <cell r="AK194">
            <v>0</v>
          </cell>
          <cell r="AR194">
            <v>0</v>
          </cell>
        </row>
        <row r="195">
          <cell r="J195">
            <v>278476.44940580003</v>
          </cell>
          <cell r="M195">
            <v>68315.520000000004</v>
          </cell>
          <cell r="T195">
            <v>417988.55682156119</v>
          </cell>
          <cell r="V195">
            <v>286830.74288797402</v>
          </cell>
          <cell r="Y195">
            <v>71731.296000000002</v>
          </cell>
          <cell r="AF195">
            <v>432207.46647640079</v>
          </cell>
          <cell r="AH195">
            <v>295435.66517461324</v>
          </cell>
          <cell r="AK195">
            <v>74600.547840000014</v>
          </cell>
          <cell r="AR195">
            <v>446063.4743362256</v>
          </cell>
        </row>
        <row r="196">
          <cell r="J196">
            <v>876966.15988599998</v>
          </cell>
          <cell r="M196">
            <v>230404.42879999999</v>
          </cell>
          <cell r="T196">
            <v>1304494.2215191862</v>
          </cell>
          <cell r="V196">
            <v>903275.14468258014</v>
          </cell>
          <cell r="Y196">
            <v>224536</v>
          </cell>
          <cell r="AF196">
            <v>1329967.2565908032</v>
          </cell>
          <cell r="AH196">
            <v>930373.39902305766</v>
          </cell>
          <cell r="AK196">
            <v>233517.43999999994</v>
          </cell>
          <cell r="AR196">
            <v>1372623.977271785</v>
          </cell>
        </row>
        <row r="197">
          <cell r="J197">
            <v>0</v>
          </cell>
          <cell r="M197">
            <v>0</v>
          </cell>
          <cell r="T197">
            <v>0</v>
          </cell>
          <cell r="V197">
            <v>0</v>
          </cell>
          <cell r="Y197">
            <v>0</v>
          </cell>
          <cell r="AF197">
            <v>0</v>
          </cell>
          <cell r="AH197">
            <v>0</v>
          </cell>
          <cell r="AK197">
            <v>0</v>
          </cell>
          <cell r="AR197">
            <v>0</v>
          </cell>
        </row>
        <row r="198">
          <cell r="J198">
            <v>702206.93044200004</v>
          </cell>
          <cell r="M198">
            <v>177923.20000000001</v>
          </cell>
          <cell r="T198">
            <v>1076159.0112307267</v>
          </cell>
          <cell r="V198">
            <v>723273.13835526002</v>
          </cell>
          <cell r="Y198">
            <v>186819.36000000002</v>
          </cell>
          <cell r="AF198">
            <v>1112606.7286982294</v>
          </cell>
          <cell r="AH198">
            <v>744971.33250591788</v>
          </cell>
          <cell r="AK198">
            <v>194292.13439999998</v>
          </cell>
          <cell r="AR198">
            <v>1148301.6819718804</v>
          </cell>
        </row>
        <row r="199">
          <cell r="J199">
            <v>270135.70792388002</v>
          </cell>
          <cell r="M199">
            <v>90446.720000000001</v>
          </cell>
          <cell r="T199">
            <v>421729.71471202973</v>
          </cell>
          <cell r="V199">
            <v>278239.77916159644</v>
          </cell>
          <cell r="Y199">
            <v>94969.056000000011</v>
          </cell>
          <cell r="AF199">
            <v>435913.5181212278</v>
          </cell>
          <cell r="AH199">
            <v>286586.97253644431</v>
          </cell>
          <cell r="AK199">
            <v>98767.818240000008</v>
          </cell>
          <cell r="AR199">
            <v>450092.86012399237</v>
          </cell>
        </row>
        <row r="200">
          <cell r="J200">
            <v>341126.18873500009</v>
          </cell>
          <cell r="M200">
            <v>83166.720000000001</v>
          </cell>
          <cell r="T200">
            <v>507553.64546390733</v>
          </cell>
          <cell r="V200">
            <v>351359.9743970501</v>
          </cell>
          <cell r="Y200">
            <v>84317.288</v>
          </cell>
          <cell r="AF200">
            <v>521880.09556135634</v>
          </cell>
          <cell r="AH200">
            <v>361900.77362896153</v>
          </cell>
          <cell r="AK200">
            <v>87689.979520000008</v>
          </cell>
          <cell r="AR200">
            <v>538614.21589615499</v>
          </cell>
        </row>
        <row r="201">
          <cell r="J201">
            <v>431802.01827</v>
          </cell>
          <cell r="M201">
            <v>140533.08000000002</v>
          </cell>
          <cell r="T201">
            <v>673843.08171818708</v>
          </cell>
          <cell r="V201">
            <v>444756.07881810004</v>
          </cell>
          <cell r="Y201">
            <v>147559.73400000003</v>
          </cell>
          <cell r="AF201">
            <v>696259.31886180909</v>
          </cell>
          <cell r="AH201">
            <v>458098.76118264307</v>
          </cell>
          <cell r="AK201">
            <v>153462.12336000003</v>
          </cell>
          <cell r="AR201">
            <v>718903.35082616226</v>
          </cell>
        </row>
        <row r="202">
          <cell r="J202">
            <v>64917.206415880006</v>
          </cell>
          <cell r="M202">
            <v>26732.16</v>
          </cell>
          <cell r="T202">
            <v>105489.18941121941</v>
          </cell>
          <cell r="V202">
            <v>66864.722608356402</v>
          </cell>
          <cell r="Y202">
            <v>28068.768</v>
          </cell>
          <cell r="AF202">
            <v>109124.19110437365</v>
          </cell>
          <cell r="AH202">
            <v>68870.664286607091</v>
          </cell>
          <cell r="AK202">
            <v>29191.51872</v>
          </cell>
          <cell r="AR202">
            <v>112717.44622236266</v>
          </cell>
        </row>
        <row r="203">
          <cell r="J203">
            <v>1253806.1349910002</v>
          </cell>
          <cell r="M203">
            <v>256447.98017279999</v>
          </cell>
          <cell r="T203">
            <v>1814507.7470164283</v>
          </cell>
          <cell r="V203">
            <v>1291420.3190407301</v>
          </cell>
          <cell r="Y203">
            <v>269270.37918143999</v>
          </cell>
          <cell r="AF203">
            <v>1874436.4418514762</v>
          </cell>
          <cell r="AH203">
            <v>1330162.9286119519</v>
          </cell>
          <cell r="AK203">
            <v>280041.19434869767</v>
          </cell>
          <cell r="AR203">
            <v>1933290.5657568465</v>
          </cell>
        </row>
        <row r="204">
          <cell r="J204">
            <v>331345.41666666669</v>
          </cell>
          <cell r="M204">
            <v>84711.026836800011</v>
          </cell>
          <cell r="T204">
            <v>466988.60264513327</v>
          </cell>
          <cell r="V204">
            <v>451309.95</v>
          </cell>
          <cell r="Y204">
            <v>88946.578178640004</v>
          </cell>
          <cell r="AF204">
            <v>650562.74517713999</v>
          </cell>
          <cell r="AH204">
            <v>464849.24849999999</v>
          </cell>
          <cell r="AK204">
            <v>92504.441305785615</v>
          </cell>
          <cell r="AR204">
            <v>674449.09878797538</v>
          </cell>
        </row>
        <row r="205">
          <cell r="J205">
            <v>384962.32402862003</v>
          </cell>
          <cell r="M205">
            <v>95047.680000000008</v>
          </cell>
          <cell r="T205">
            <v>565194.38236024685</v>
          </cell>
          <cell r="V205">
            <v>396511.19374947867</v>
          </cell>
          <cell r="Y205">
            <v>99800.063999999998</v>
          </cell>
          <cell r="AF205">
            <v>583674.63832380471</v>
          </cell>
          <cell r="AH205">
            <v>408406.52956196299</v>
          </cell>
          <cell r="AK205">
            <v>103792.06656000001</v>
          </cell>
          <cell r="AR205">
            <v>602418.08647598582</v>
          </cell>
        </row>
        <row r="206">
          <cell r="J206">
            <v>665617.04945299996</v>
          </cell>
          <cell r="M206">
            <v>151361.76640000002</v>
          </cell>
          <cell r="T206">
            <v>964945.42956402083</v>
          </cell>
          <cell r="V206">
            <v>685585.56093658996</v>
          </cell>
          <cell r="Y206">
            <v>146745.53599999999</v>
          </cell>
          <cell r="AF206">
            <v>984065.30283262965</v>
          </cell>
          <cell r="AH206">
            <v>706153.12776468787</v>
          </cell>
          <cell r="AK206">
            <v>152615.35743999999</v>
          </cell>
          <cell r="AR206">
            <v>1015441.03245471</v>
          </cell>
        </row>
        <row r="207">
          <cell r="J207">
            <v>891279.88949798001</v>
          </cell>
          <cell r="M207">
            <v>98017.919999999998</v>
          </cell>
          <cell r="T207">
            <v>1174998.8479978335</v>
          </cell>
          <cell r="V207">
            <v>918018.2861829194</v>
          </cell>
          <cell r="Y207">
            <v>102918.81600000002</v>
          </cell>
          <cell r="AF207">
            <v>1209779.3744915591</v>
          </cell>
          <cell r="AH207">
            <v>945558.83476840716</v>
          </cell>
          <cell r="AK207">
            <v>107035.56864000001</v>
          </cell>
          <cell r="AR207">
            <v>1247780.0386007302</v>
          </cell>
        </row>
        <row r="208">
          <cell r="J208">
            <v>654826.27711299993</v>
          </cell>
          <cell r="M208">
            <v>468773.76</v>
          </cell>
          <cell r="T208">
            <v>1322089.656606118</v>
          </cell>
          <cell r="V208">
            <v>674471.06542639015</v>
          </cell>
          <cell r="Y208">
            <v>492212.44800000009</v>
          </cell>
          <cell r="AF208">
            <v>1320968.0854528472</v>
          </cell>
          <cell r="AH208">
            <v>694705.1973891817</v>
          </cell>
          <cell r="AK208">
            <v>511900.94592000003</v>
          </cell>
          <cell r="AR208">
            <v>1365938.0213887789</v>
          </cell>
        </row>
        <row r="209">
          <cell r="J209">
            <v>479711.40851815057</v>
          </cell>
          <cell r="M209">
            <v>109979.944256</v>
          </cell>
          <cell r="T209">
            <v>691336.62789510423</v>
          </cell>
          <cell r="V209">
            <v>494102.75077369518</v>
          </cell>
          <cell r="Y209">
            <v>115478.94146880004</v>
          </cell>
          <cell r="AF209">
            <v>713819.8075264896</v>
          </cell>
          <cell r="AH209">
            <v>508925.83329690597</v>
          </cell>
          <cell r="AK209">
            <v>120098.09912755201</v>
          </cell>
          <cell r="AR209">
            <v>736694.97480027773</v>
          </cell>
        </row>
        <row r="210">
          <cell r="J210">
            <v>247994.63304994002</v>
          </cell>
          <cell r="M210">
            <v>56434.559999999998</v>
          </cell>
          <cell r="T210">
            <v>369787.53785245673</v>
          </cell>
          <cell r="V210">
            <v>255434.47204143822</v>
          </cell>
          <cell r="Y210">
            <v>59256.288000000008</v>
          </cell>
          <cell r="AF210">
            <v>382200.39629402646</v>
          </cell>
          <cell r="AH210">
            <v>263097.50620268134</v>
          </cell>
          <cell r="AK210">
            <v>61626.539520000006</v>
          </cell>
          <cell r="AR210">
            <v>394431.92516756128</v>
          </cell>
        </row>
        <row r="211">
          <cell r="J211">
            <v>1394098.028136</v>
          </cell>
          <cell r="M211">
            <v>215931.04</v>
          </cell>
          <cell r="T211">
            <v>1991491.9793264668</v>
          </cell>
          <cell r="V211">
            <v>1435920.96898008</v>
          </cell>
          <cell r="Y211">
            <v>226727.59200000003</v>
          </cell>
          <cell r="AF211">
            <v>2056612.8805877354</v>
          </cell>
          <cell r="AH211">
            <v>1478998.5980494826</v>
          </cell>
          <cell r="AK211">
            <v>235796.69568000003</v>
          </cell>
          <cell r="AR211">
            <v>2121500.1604598854</v>
          </cell>
        </row>
        <row r="212">
          <cell r="J212">
            <v>298611.09492685</v>
          </cell>
          <cell r="M212">
            <v>71285.760000000009</v>
          </cell>
          <cell r="T212">
            <v>454432.39463108458</v>
          </cell>
          <cell r="V212">
            <v>307569.42777465552</v>
          </cell>
          <cell r="Y212">
            <v>73179.288</v>
          </cell>
          <cell r="AF212">
            <v>467993.62986928353</v>
          </cell>
          <cell r="AH212">
            <v>316796.51060789521</v>
          </cell>
          <cell r="AK212">
            <v>76106.459520000004</v>
          </cell>
          <cell r="AR212">
            <v>482965.49699342408</v>
          </cell>
        </row>
        <row r="213">
          <cell r="J213">
            <v>188627.93512800001</v>
          </cell>
          <cell r="M213">
            <v>29411.200000000001</v>
          </cell>
          <cell r="T213">
            <v>261130.01152022142</v>
          </cell>
          <cell r="V213">
            <v>194286.77318183999</v>
          </cell>
          <cell r="Y213">
            <v>30881.760000000002</v>
          </cell>
          <cell r="AF213">
            <v>268700.19702063838</v>
          </cell>
          <cell r="AH213">
            <v>200115.37637729524</v>
          </cell>
          <cell r="AK213">
            <v>32117.030400000003</v>
          </cell>
          <cell r="AR213">
            <v>277170.04801730427</v>
          </cell>
        </row>
        <row r="214">
          <cell r="J214">
            <v>167248.72967556003</v>
          </cell>
          <cell r="M214">
            <v>68315.520000000004</v>
          </cell>
          <cell r="T214">
            <v>271529.61833933793</v>
          </cell>
          <cell r="V214">
            <v>172266.19156582683</v>
          </cell>
          <cell r="Y214">
            <v>71731.296000000002</v>
          </cell>
          <cell r="AF214">
            <v>280149.59729536809</v>
          </cell>
          <cell r="AH214">
            <v>177434.17731280165</v>
          </cell>
          <cell r="AK214">
            <v>74600.547840000014</v>
          </cell>
          <cell r="AR214">
            <v>289379.24814898684</v>
          </cell>
        </row>
        <row r="215">
          <cell r="J215">
            <v>0</v>
          </cell>
          <cell r="M215">
            <v>0</v>
          </cell>
          <cell r="T215">
            <v>0</v>
          </cell>
          <cell r="V215">
            <v>0</v>
          </cell>
          <cell r="Y215">
            <v>0</v>
          </cell>
          <cell r="AF215">
            <v>0</v>
          </cell>
          <cell r="AH215">
            <v>0</v>
          </cell>
          <cell r="AK215">
            <v>0</v>
          </cell>
          <cell r="AR215">
            <v>0</v>
          </cell>
        </row>
        <row r="216">
          <cell r="J216">
            <v>200237.61144206004</v>
          </cell>
          <cell r="M216">
            <v>29702.400000000001</v>
          </cell>
          <cell r="T216">
            <v>281801.93583153584</v>
          </cell>
          <cell r="V216">
            <v>206244.73978532181</v>
          </cell>
          <cell r="Y216">
            <v>31187.520000000004</v>
          </cell>
          <cell r="AF216">
            <v>290727.10222905921</v>
          </cell>
          <cell r="AH216">
            <v>212432.0819788815</v>
          </cell>
          <cell r="AK216">
            <v>32435.020800000006</v>
          </cell>
          <cell r="AR216">
            <v>299883.67867823498</v>
          </cell>
        </row>
        <row r="217">
          <cell r="J217">
            <v>981099.22348077514</v>
          </cell>
          <cell r="M217">
            <v>197375.36000000002</v>
          </cell>
          <cell r="T217">
            <v>1389721.0564475746</v>
          </cell>
          <cell r="V217">
            <v>1010532.2001851985</v>
          </cell>
          <cell r="Y217">
            <v>207244.12800000003</v>
          </cell>
          <cell r="AF217">
            <v>1432139.054470778</v>
          </cell>
          <cell r="AH217">
            <v>1040848.1661907544</v>
          </cell>
          <cell r="AK217">
            <v>215533.89312000002</v>
          </cell>
          <cell r="AR217">
            <v>1477518.3544952064</v>
          </cell>
        </row>
        <row r="218">
          <cell r="J218">
            <v>156509.06650000002</v>
          </cell>
          <cell r="M218">
            <v>56434.559999999998</v>
          </cell>
          <cell r="T218">
            <v>257576.95495209502</v>
          </cell>
          <cell r="V218">
            <v>161204.338495</v>
          </cell>
          <cell r="Y218">
            <v>59256.288000000008</v>
          </cell>
          <cell r="AF218">
            <v>266096.44247074745</v>
          </cell>
          <cell r="AH218">
            <v>166040.46864985002</v>
          </cell>
          <cell r="AK218">
            <v>61626.539520000006</v>
          </cell>
          <cell r="AR218">
            <v>274771.0893810438</v>
          </cell>
        </row>
        <row r="233">
          <cell r="T233">
            <v>7777.739458616401</v>
          </cell>
          <cell r="AF233">
            <v>7983.521704349102</v>
          </cell>
          <cell r="AR233">
            <v>8228.2115120869275</v>
          </cell>
        </row>
      </sheetData>
      <sheetData sheetId="14" refreshError="1"/>
      <sheetData sheetId="15" refreshError="1"/>
      <sheetData sheetId="16">
        <row r="21">
          <cell r="P21">
            <v>3366989.9295000001</v>
          </cell>
          <cell r="U21">
            <v>3618090.4909666665</v>
          </cell>
        </row>
      </sheetData>
      <sheetData sheetId="17">
        <row r="8">
          <cell r="G8">
            <v>33192</v>
          </cell>
        </row>
      </sheetData>
      <sheetData sheetId="18">
        <row r="8">
          <cell r="P8">
            <v>791146.97266829549</v>
          </cell>
        </row>
        <row r="9">
          <cell r="P9">
            <v>875986.81864505936</v>
          </cell>
        </row>
        <row r="10">
          <cell r="P10">
            <v>564176.04264168791</v>
          </cell>
        </row>
        <row r="12">
          <cell r="P12">
            <v>2311490.0311741536</v>
          </cell>
        </row>
        <row r="13">
          <cell r="P13">
            <v>1030788.0710999926</v>
          </cell>
        </row>
        <row r="14">
          <cell r="P14">
            <v>81771.83157200001</v>
          </cell>
        </row>
        <row r="15">
          <cell r="P15">
            <v>855916.64951740007</v>
          </cell>
        </row>
        <row r="17">
          <cell r="P17">
            <v>405298.44953130541</v>
          </cell>
        </row>
        <row r="20">
          <cell r="P20">
            <v>1045016.161599328</v>
          </cell>
        </row>
        <row r="21">
          <cell r="P21">
            <v>407921.71190234425</v>
          </cell>
        </row>
        <row r="22">
          <cell r="P22">
            <v>493861.24867970403</v>
          </cell>
        </row>
        <row r="23">
          <cell r="P23">
            <v>598653.19053777412</v>
          </cell>
        </row>
        <row r="24">
          <cell r="P24">
            <v>102540.09814681495</v>
          </cell>
        </row>
        <row r="25">
          <cell r="P25">
            <v>1785691.975278591</v>
          </cell>
        </row>
        <row r="26">
          <cell r="P26">
            <v>339160.03291729913</v>
          </cell>
        </row>
        <row r="27">
          <cell r="P27">
            <v>546721.86633442761</v>
          </cell>
        </row>
        <row r="28">
          <cell r="P28">
            <v>919862.50932166597</v>
          </cell>
        </row>
        <row r="29">
          <cell r="P29">
            <v>543116.26675601676</v>
          </cell>
        </row>
        <row r="31">
          <cell r="P31">
            <v>656426.9206765946</v>
          </cell>
        </row>
        <row r="32">
          <cell r="P32">
            <v>359664.14136975957</v>
          </cell>
        </row>
        <row r="34">
          <cell r="P34">
            <v>441951.82943613187</v>
          </cell>
        </row>
        <row r="35">
          <cell r="P35">
            <v>270674.34031621012</v>
          </cell>
        </row>
        <row r="36">
          <cell r="P36">
            <v>263236.94070106337</v>
          </cell>
        </row>
        <row r="38">
          <cell r="P38">
            <v>273221.23073301889</v>
          </cell>
        </row>
        <row r="39">
          <cell r="P39">
            <v>1338626.4568656427</v>
          </cell>
        </row>
        <row r="40">
          <cell r="P40">
            <v>259232.15997409716</v>
          </cell>
        </row>
      </sheetData>
      <sheetData sheetId="19" refreshError="1"/>
      <sheetData sheetId="20">
        <row r="8">
          <cell r="L8">
            <v>768124.60437744251</v>
          </cell>
        </row>
        <row r="9">
          <cell r="L9">
            <v>851495.48326504871</v>
          </cell>
        </row>
        <row r="10">
          <cell r="L10">
            <v>547650.116588832</v>
          </cell>
        </row>
        <row r="11">
          <cell r="L11">
            <v>519505.56026476802</v>
          </cell>
        </row>
        <row r="12">
          <cell r="L12">
            <v>2275217.7956682723</v>
          </cell>
        </row>
        <row r="13">
          <cell r="L13">
            <v>983653.32868384407</v>
          </cell>
        </row>
        <row r="14">
          <cell r="L14">
            <v>98731.208399999989</v>
          </cell>
        </row>
        <row r="15">
          <cell r="L15">
            <v>931636.42</v>
          </cell>
        </row>
        <row r="20">
          <cell r="L20">
            <v>1017684.3625295191</v>
          </cell>
        </row>
        <row r="21">
          <cell r="L21">
            <v>397838.330175512</v>
          </cell>
        </row>
        <row r="22">
          <cell r="L22">
            <v>434340.00453066797</v>
          </cell>
        </row>
        <row r="23">
          <cell r="L23">
            <v>551894.62036215398</v>
          </cell>
        </row>
        <row r="24">
          <cell r="L24">
            <v>100278.00557943201</v>
          </cell>
        </row>
        <row r="25">
          <cell r="L25">
            <v>1739602.9521984227</v>
          </cell>
        </row>
        <row r="26">
          <cell r="L26">
            <v>119447.64387827001</v>
          </cell>
        </row>
        <row r="27">
          <cell r="L27">
            <v>532793.71954798803</v>
          </cell>
        </row>
        <row r="28">
          <cell r="L28">
            <v>882593.86790141207</v>
          </cell>
        </row>
        <row r="29">
          <cell r="L29">
            <v>526641.41587962804</v>
          </cell>
        </row>
        <row r="31">
          <cell r="L31">
            <v>633314.5782314688</v>
          </cell>
        </row>
        <row r="32">
          <cell r="L32">
            <v>350078.41435521818</v>
          </cell>
        </row>
        <row r="33">
          <cell r="L33">
            <v>1816343.6214884073</v>
          </cell>
        </row>
        <row r="34">
          <cell r="L34">
            <v>478180.429670727</v>
          </cell>
        </row>
        <row r="35">
          <cell r="L35">
            <v>263669.04143536004</v>
          </cell>
        </row>
        <row r="36">
          <cell r="L36">
            <v>257950.09814213603</v>
          </cell>
        </row>
        <row r="38">
          <cell r="L38">
            <v>265822.77897356398</v>
          </cell>
        </row>
        <row r="39">
          <cell r="L39">
            <v>1300044.3315785052</v>
          </cell>
        </row>
        <row r="40">
          <cell r="L40">
            <v>253840.41099001199</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heet1"/>
      <sheetName val="Slides"/>
      <sheetName val="EVANGELISM"/>
      <sheetName val="REC &amp; JUST"/>
      <sheetName val="CREATION CARE"/>
      <sheetName val="PB MINSTRY"/>
      <sheetName val="MISSION WITHIN"/>
      <sheetName val="MISSION BEYOND"/>
      <sheetName val="Governance"/>
      <sheetName val="Fin Legal Oper"/>
      <sheetName val="Salary Summary 2019-2021"/>
      <sheetName val="Staff Details Aug 19 for 19-21"/>
      <sheetName val="Rent Debt"/>
      <sheetName val="15% 15% 15% 140K  0.5% pa"/>
      <sheetName val="Info for Pie Charts 19-21"/>
      <sheetName val="Salary Summary GC Adopted"/>
      <sheetName val="Dividends 2017-2021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2">
          <cell r="AC122">
            <v>19769.931999999997</v>
          </cell>
        </row>
      </sheetData>
      <sheetData sheetId="14">
        <row r="4">
          <cell r="P4">
            <v>346212</v>
          </cell>
        </row>
        <row r="38">
          <cell r="O38">
            <v>2192381.1159999999</v>
          </cell>
        </row>
      </sheetData>
      <sheetData sheetId="15"/>
      <sheetData sheetId="16"/>
      <sheetData sheetId="17">
        <row r="6">
          <cell r="Y6">
            <v>3095748.7296600337</v>
          </cell>
        </row>
        <row r="7">
          <cell r="Y7">
            <v>1640471.5942966545</v>
          </cell>
        </row>
        <row r="8">
          <cell r="Y8">
            <v>2338995.028037495</v>
          </cell>
        </row>
        <row r="9">
          <cell r="Y9">
            <v>2163344.8693473814</v>
          </cell>
        </row>
        <row r="11">
          <cell r="Y11">
            <v>2056086.1062745848</v>
          </cell>
        </row>
        <row r="12">
          <cell r="Y12">
            <v>3031034.7743127919</v>
          </cell>
        </row>
        <row r="13">
          <cell r="Y13">
            <v>3719695.3992224783</v>
          </cell>
        </row>
        <row r="15">
          <cell r="Y15">
            <v>756083.81615320384</v>
          </cell>
        </row>
        <row r="18">
          <cell r="Y18">
            <v>2256727.1986439303</v>
          </cell>
        </row>
        <row r="19">
          <cell r="Y19">
            <v>1049260.6503875111</v>
          </cell>
        </row>
        <row r="20">
          <cell r="Y20">
            <v>1055888.9583546571</v>
          </cell>
        </row>
        <row r="21">
          <cell r="Y21">
            <v>1393501.8011782919</v>
          </cell>
        </row>
        <row r="22">
          <cell r="Y22">
            <v>222178.63640063885</v>
          </cell>
        </row>
        <row r="23">
          <cell r="Y23">
            <v>3253686.3596491003</v>
          </cell>
        </row>
        <row r="24">
          <cell r="Y24">
            <v>303480.98336331022</v>
          </cell>
        </row>
        <row r="25">
          <cell r="Y25">
            <v>1313154.4757400374</v>
          </cell>
        </row>
        <row r="26">
          <cell r="Y26">
            <v>2230583.5318821394</v>
          </cell>
        </row>
        <row r="27">
          <cell r="Y27">
            <v>864976.61500796</v>
          </cell>
        </row>
        <row r="28">
          <cell r="Y28">
            <v>3452871.390151999</v>
          </cell>
        </row>
        <row r="31">
          <cell r="Y31">
            <v>712088.5979476379</v>
          </cell>
        </row>
        <row r="33">
          <cell r="Y33">
            <v>3381318.8398741502</v>
          </cell>
        </row>
        <row r="34">
          <cell r="Y34">
            <v>693189.62135474221</v>
          </cell>
        </row>
      </sheetData>
      <sheetData sheetId="18">
        <row r="14">
          <cell r="O14">
            <v>108000</v>
          </cell>
        </row>
        <row r="15">
          <cell r="O15">
            <v>33000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NGELISM"/>
      <sheetName val="REC &amp; JUST"/>
      <sheetName val="CREATION CARE"/>
      <sheetName val="PB MINSTRY"/>
      <sheetName val="MISSION WITHIN"/>
      <sheetName val="MISSION BEYOND"/>
      <sheetName val="Governance"/>
      <sheetName val="Fin Legal Oper"/>
      <sheetName val="Salary Summary 21 for 2022-2024"/>
    </sheetNames>
    <sheetDataSet>
      <sheetData sheetId="0"/>
      <sheetData sheetId="1">
        <row r="41">
          <cell r="A41">
            <v>65</v>
          </cell>
        </row>
      </sheetData>
      <sheetData sheetId="2"/>
      <sheetData sheetId="3">
        <row r="20">
          <cell r="A20">
            <v>174</v>
          </cell>
        </row>
      </sheetData>
      <sheetData sheetId="4"/>
      <sheetData sheetId="5"/>
      <sheetData sheetId="6"/>
      <sheetData sheetId="7"/>
      <sheetData sheetId="8"/>
      <sheetData sheetId="9">
        <row r="22">
          <cell r="L22">
            <v>512771.90370390739</v>
          </cell>
        </row>
        <row r="33">
          <cell r="P33">
            <v>2158219.8113392559</v>
          </cell>
          <cell r="T33">
            <v>2226566.1345171039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lides"/>
      <sheetName val="EVANGELISM"/>
      <sheetName val="REC &amp; JUST"/>
      <sheetName val="CREATION CARE"/>
      <sheetName val="PB MINSTRY"/>
      <sheetName val="MISSION WITHIN"/>
      <sheetName val="MISSION BEYOND"/>
      <sheetName val="Governance"/>
      <sheetName val="Fin Legal Oper"/>
      <sheetName val="Salary Summary 21 for 2022-2024"/>
      <sheetName val="Staff Details 2022-2024"/>
      <sheetName val="debt costs"/>
      <sheetName val="div"/>
      <sheetName val="Rent schedule"/>
      <sheetName val="Salary Summary 20 for 2019-2021"/>
      <sheetName val="Staff Details Aug 20 for 19-21"/>
      <sheetName val="Salary Summary 19 for 2019-2021"/>
      <sheetName val="2019 actual"/>
      <sheetName val="Sheet2"/>
    </sheetNames>
    <sheetDataSet>
      <sheetData sheetId="0"/>
      <sheetData sheetId="1"/>
      <sheetData sheetId="2"/>
      <sheetData sheetId="3">
        <row r="41">
          <cell r="A41">
            <v>65</v>
          </cell>
        </row>
      </sheetData>
      <sheetData sheetId="4"/>
      <sheetData sheetId="5"/>
      <sheetData sheetId="6"/>
      <sheetData sheetId="7"/>
      <sheetData sheetId="8"/>
      <sheetData sheetId="9"/>
      <sheetData sheetId="10"/>
      <sheetData sheetId="11">
        <row r="29">
          <cell r="T29">
            <v>1075232.17007417</v>
          </cell>
        </row>
        <row r="35">
          <cell r="P35">
            <v>292344.4496526384</v>
          </cell>
          <cell r="T35">
            <v>301760.07075458427</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NGELISM"/>
      <sheetName val="REC &amp; JUST"/>
      <sheetName val="CREATION CARE"/>
      <sheetName val="PB MINSTRY"/>
      <sheetName val="MISSION WITHIN"/>
      <sheetName val="MISSION BEYOND"/>
      <sheetName val="Governance"/>
      <sheetName val="Fin Legal Oper"/>
      <sheetName val="Salary Summary 21 for 2022-2024"/>
    </sheetNames>
    <sheetDataSet>
      <sheetData sheetId="0"/>
      <sheetData sheetId="1"/>
      <sheetData sheetId="2"/>
      <sheetData sheetId="3"/>
      <sheetData sheetId="4"/>
      <sheetData sheetId="5"/>
      <sheetData sheetId="6"/>
      <sheetData sheetId="7"/>
      <sheetData sheetId="8"/>
      <sheetData sheetId="9">
        <row r="17">
          <cell r="P17">
            <v>436708.60530040081</v>
          </cell>
          <cell r="T17">
            <v>450744.65871318564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NGELISM"/>
      <sheetName val="REC &amp; JUST"/>
      <sheetName val="CREATION CARE"/>
      <sheetName val="PB MINSTRY"/>
      <sheetName val="MISSION WITHIN"/>
      <sheetName val="MISSION BEYOND"/>
      <sheetName val="Governance"/>
      <sheetName val="Fin Legal Oper"/>
      <sheetName val="Salary Summary 21 for 2022-2024"/>
    </sheetNames>
    <sheetDataSet>
      <sheetData sheetId="0"/>
      <sheetData sheetId="1"/>
      <sheetData sheetId="2"/>
      <sheetData sheetId="3"/>
      <sheetData sheetId="4"/>
      <sheetData sheetId="5"/>
      <sheetData sheetId="6"/>
      <sheetData sheetId="7"/>
      <sheetData sheetId="8"/>
      <sheetData sheetId="9">
        <row r="25">
          <cell r="P25">
            <v>1889426.9854218282</v>
          </cell>
          <cell r="T25">
            <v>1948963.0669926079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NGELISM"/>
      <sheetName val="REC &amp; JUST"/>
      <sheetName val="CREATION CARE"/>
      <sheetName val="PB MINSTRY"/>
      <sheetName val="MISSION WITHIN"/>
      <sheetName val="MISSION BEYOND"/>
      <sheetName val="Governance"/>
      <sheetName val="Fin Legal Oper"/>
      <sheetName val="Salary Summary 21 for 2022-2024"/>
    </sheetNames>
    <sheetDataSet>
      <sheetData sheetId="0"/>
      <sheetData sheetId="1"/>
      <sheetData sheetId="2"/>
      <sheetData sheetId="3"/>
      <sheetData sheetId="4"/>
      <sheetData sheetId="5"/>
      <sheetData sheetId="6"/>
      <sheetData sheetId="7"/>
      <sheetData sheetId="8"/>
      <sheetData sheetId="9">
        <row r="10">
          <cell r="P10">
            <v>604821.0993402265</v>
          </cell>
          <cell r="T10">
            <v>623788.79661823297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23B7F-F26A-415C-AAB9-431E815CA4E9}">
  <sheetPr>
    <tabColor rgb="FF00B050"/>
  </sheetPr>
  <dimension ref="A1:AA464"/>
  <sheetViews>
    <sheetView tabSelected="1" view="pageBreakPreview" zoomScale="75" zoomScaleNormal="75" zoomScaleSheetLayoutView="75" workbookViewId="0">
      <pane xSplit="10" ySplit="5" topLeftCell="K39" activePane="bottomRight" state="frozen"/>
      <selection activeCell="B198" sqref="B198"/>
      <selection pane="topRight" activeCell="B198" sqref="B198"/>
      <selection pane="bottomLeft" activeCell="B198" sqref="B198"/>
      <selection pane="bottomRight" activeCell="B23" sqref="B23"/>
    </sheetView>
  </sheetViews>
  <sheetFormatPr defaultColWidth="10.625" defaultRowHeight="14.25"/>
  <cols>
    <col min="1" max="1" width="11.25" style="32" customWidth="1"/>
    <col min="2" max="2" width="43.5" style="13" customWidth="1"/>
    <col min="3" max="3" width="14.625" style="14" hidden="1" customWidth="1"/>
    <col min="4" max="4" width="14.375" style="60" hidden="1" customWidth="1"/>
    <col min="5" max="5" width="14.25" style="60" hidden="1" customWidth="1"/>
    <col min="6" max="6" width="14.75" style="60" hidden="1" customWidth="1"/>
    <col min="7" max="7" width="15.875" style="60" hidden="1" customWidth="1"/>
    <col min="8" max="8" width="33.5" style="133" hidden="1" customWidth="1"/>
    <col min="9" max="9" width="13.0625" style="60" hidden="1" customWidth="1"/>
    <col min="10" max="10" width="14.25" style="60" customWidth="1"/>
    <col min="11" max="11" width="14.75" style="60" customWidth="1"/>
    <col min="12" max="12" width="13.75" style="60" hidden="1" customWidth="1"/>
    <col min="13" max="13" width="5.875" style="130" customWidth="1"/>
    <col min="14" max="14" width="15.625" style="60" customWidth="1"/>
    <col min="15" max="15" width="11.25" style="60" customWidth="1"/>
    <col min="16" max="16" width="13.3125" style="60" customWidth="1"/>
    <col min="17" max="17" width="51.125" style="133" customWidth="1"/>
    <col min="18" max="18" width="16.125" style="134" customWidth="1"/>
    <col min="19" max="19" width="6.875" style="130" hidden="1" customWidth="1"/>
    <col min="20" max="20" width="20.875" style="14" hidden="1" customWidth="1"/>
    <col min="21" max="21" width="18" style="14" hidden="1" customWidth="1"/>
    <col min="22" max="22" width="20.375" style="14" hidden="1" customWidth="1"/>
    <col min="23" max="23" width="15.5" style="14" hidden="1" customWidth="1"/>
    <col min="24" max="24" width="19.875" style="14" hidden="1" customWidth="1"/>
    <col min="25" max="25" width="59.375" style="14" hidden="1" customWidth="1"/>
    <col min="26" max="16384" width="10.625" style="14"/>
  </cols>
  <sheetData>
    <row r="1" spans="1:27" s="9" customFormat="1" ht="15" customHeight="1">
      <c r="A1" s="1" t="s">
        <v>0</v>
      </c>
      <c r="B1" s="2"/>
      <c r="C1" s="3"/>
      <c r="D1" s="3"/>
      <c r="E1" s="3"/>
      <c r="F1" s="4"/>
      <c r="G1" s="4"/>
      <c r="H1" s="5"/>
      <c r="I1" s="4"/>
      <c r="J1" s="4"/>
      <c r="K1" s="4"/>
      <c r="L1" s="5"/>
      <c r="M1" s="6"/>
      <c r="N1" s="5"/>
      <c r="O1" s="5"/>
      <c r="P1" s="5"/>
      <c r="Q1" s="7" t="s">
        <v>1</v>
      </c>
      <c r="R1" s="5"/>
      <c r="S1" s="6"/>
      <c r="T1" s="8"/>
      <c r="U1" s="5"/>
      <c r="V1" s="4"/>
      <c r="Y1" s="7" t="s">
        <v>1</v>
      </c>
    </row>
    <row r="2" spans="1:27" s="9" customFormat="1" ht="15" customHeight="1">
      <c r="A2" s="10" t="s">
        <v>1123</v>
      </c>
      <c r="B2" s="11"/>
      <c r="C2" s="4"/>
      <c r="D2" s="4"/>
      <c r="E2" s="4"/>
      <c r="F2" s="4"/>
      <c r="G2" s="4"/>
      <c r="H2" s="5"/>
      <c r="I2" s="4"/>
      <c r="J2" s="4"/>
      <c r="K2" s="4"/>
      <c r="L2" s="5"/>
      <c r="M2" s="6"/>
      <c r="N2" s="5"/>
      <c r="O2" s="5"/>
      <c r="P2" s="5"/>
      <c r="Q2" s="737"/>
      <c r="R2" s="5"/>
      <c r="S2" s="6"/>
      <c r="T2" s="5"/>
      <c r="U2" s="736"/>
      <c r="V2" s="4"/>
      <c r="Y2" s="737"/>
    </row>
    <row r="3" spans="1:27" s="9" customFormat="1" ht="15" customHeight="1">
      <c r="A3" s="10" t="s">
        <v>3</v>
      </c>
      <c r="B3" s="11"/>
      <c r="C3" s="4"/>
      <c r="D3" s="4"/>
      <c r="E3" s="4"/>
      <c r="F3" s="4"/>
      <c r="G3" s="4"/>
      <c r="H3" s="5"/>
      <c r="I3" s="4"/>
      <c r="J3" s="4"/>
      <c r="K3" s="4"/>
      <c r="L3" s="5"/>
      <c r="M3" s="6"/>
      <c r="N3" s="5"/>
      <c r="O3" s="5"/>
      <c r="P3" s="5"/>
      <c r="Q3" s="699"/>
      <c r="R3" s="5"/>
      <c r="S3" s="6"/>
      <c r="T3" s="5"/>
      <c r="U3" s="5"/>
      <c r="V3" s="4"/>
      <c r="Y3" s="699"/>
    </row>
    <row r="4" spans="1:27" ht="11.85" customHeight="1" thickBot="1">
      <c r="A4" s="12"/>
      <c r="D4" s="15"/>
      <c r="E4" s="15"/>
      <c r="F4" s="15"/>
      <c r="G4" s="15"/>
      <c r="H4" s="16"/>
      <c r="I4" s="15"/>
      <c r="J4" s="15"/>
      <c r="K4" s="15"/>
      <c r="L4" s="15"/>
      <c r="M4" s="17"/>
      <c r="N4" s="15"/>
      <c r="O4" s="15"/>
      <c r="P4" s="15"/>
      <c r="Q4" s="16"/>
      <c r="R4" s="18"/>
      <c r="S4" s="17"/>
    </row>
    <row r="5" spans="1:27" s="31" customFormat="1" ht="65.45" customHeight="1" thickBot="1">
      <c r="A5" s="19" t="s">
        <v>5</v>
      </c>
      <c r="B5" s="20" t="s">
        <v>6</v>
      </c>
      <c r="C5" s="21" t="s">
        <v>7</v>
      </c>
      <c r="D5" s="22" t="s">
        <v>8</v>
      </c>
      <c r="E5" s="23" t="s">
        <v>9</v>
      </c>
      <c r="F5" s="23" t="s">
        <v>10</v>
      </c>
      <c r="G5" s="23" t="s">
        <v>11</v>
      </c>
      <c r="H5" s="23" t="s">
        <v>12</v>
      </c>
      <c r="I5" s="24" t="s">
        <v>13</v>
      </c>
      <c r="J5" s="25" t="s">
        <v>14</v>
      </c>
      <c r="K5" s="25" t="s">
        <v>15</v>
      </c>
      <c r="L5" s="25" t="s">
        <v>16</v>
      </c>
      <c r="M5" s="26"/>
      <c r="N5" s="24" t="s">
        <v>17</v>
      </c>
      <c r="O5" s="25" t="s">
        <v>18</v>
      </c>
      <c r="P5" s="25" t="s">
        <v>19</v>
      </c>
      <c r="Q5" s="25" t="s">
        <v>20</v>
      </c>
      <c r="R5" s="27" t="s">
        <v>19</v>
      </c>
      <c r="S5" s="26"/>
      <c r="T5" s="28" t="s">
        <v>21</v>
      </c>
      <c r="U5" s="29" t="s">
        <v>22</v>
      </c>
      <c r="V5" s="28" t="s">
        <v>23</v>
      </c>
      <c r="W5" s="28" t="s">
        <v>24</v>
      </c>
      <c r="X5" s="28" t="s">
        <v>25</v>
      </c>
      <c r="Y5" s="30" t="s">
        <v>26</v>
      </c>
    </row>
    <row r="6" spans="1:27" ht="11.85" customHeight="1">
      <c r="D6" s="33"/>
      <c r="E6" s="33"/>
      <c r="F6" s="33"/>
      <c r="G6" s="33"/>
      <c r="H6" s="34"/>
      <c r="I6" s="33"/>
      <c r="J6" s="33"/>
      <c r="K6" s="33"/>
      <c r="L6" s="33"/>
      <c r="M6" s="17"/>
      <c r="N6" s="35"/>
      <c r="O6" s="35"/>
      <c r="P6" s="35"/>
      <c r="Q6" s="36"/>
      <c r="R6" s="37"/>
      <c r="S6" s="17"/>
      <c r="T6" s="38"/>
      <c r="U6" s="38"/>
      <c r="V6" s="38"/>
      <c r="W6" s="38"/>
      <c r="X6" s="38"/>
      <c r="Y6" s="38"/>
    </row>
    <row r="7" spans="1:27" ht="15" customHeight="1">
      <c r="A7" s="32">
        <v>1</v>
      </c>
      <c r="B7" s="39" t="s">
        <v>27</v>
      </c>
      <c r="D7" s="33"/>
      <c r="E7" s="33"/>
      <c r="F7" s="33"/>
      <c r="G7" s="33"/>
      <c r="H7" s="34"/>
      <c r="I7" s="33"/>
      <c r="J7" s="33"/>
      <c r="K7" s="33"/>
      <c r="L7" s="34"/>
      <c r="M7" s="40"/>
      <c r="N7" s="36"/>
      <c r="O7" s="36"/>
      <c r="P7" s="36"/>
      <c r="Q7" s="41"/>
      <c r="R7" s="42"/>
      <c r="S7" s="40"/>
      <c r="T7" s="38"/>
      <c r="U7" s="38"/>
      <c r="V7" s="38"/>
      <c r="W7" s="38"/>
      <c r="X7" s="38"/>
      <c r="Y7" s="38"/>
    </row>
    <row r="8" spans="1:27" ht="15" customHeight="1">
      <c r="A8" s="32">
        <f>A7+1</f>
        <v>2</v>
      </c>
      <c r="D8" s="14"/>
      <c r="E8" s="14"/>
      <c r="F8" s="14"/>
      <c r="G8" s="14"/>
      <c r="H8" s="13"/>
      <c r="I8" s="14"/>
      <c r="J8" s="14"/>
      <c r="K8" s="14"/>
      <c r="L8" s="14"/>
      <c r="M8" s="43"/>
      <c r="N8" s="41"/>
      <c r="O8" s="41"/>
      <c r="P8" s="44">
        <f>N8+O8</f>
        <v>0</v>
      </c>
      <c r="Q8" s="45"/>
      <c r="R8" s="44">
        <f t="shared" ref="R8:R37" si="0">O8</f>
        <v>0</v>
      </c>
      <c r="S8" s="46"/>
      <c r="T8" s="47"/>
      <c r="U8" s="48"/>
      <c r="V8" s="38"/>
      <c r="W8" s="38"/>
      <c r="X8" s="38"/>
      <c r="Y8" s="38"/>
    </row>
    <row r="9" spans="1:27" ht="48.75" customHeight="1">
      <c r="A9" s="32">
        <f t="shared" ref="A9:A44" si="1">A8+1</f>
        <v>3</v>
      </c>
      <c r="B9" s="13" t="s">
        <v>28</v>
      </c>
      <c r="C9" s="49">
        <f>74931206+675000</f>
        <v>75606206</v>
      </c>
      <c r="D9" s="49">
        <v>88855969.597687691</v>
      </c>
      <c r="E9" s="49">
        <v>28175582</v>
      </c>
      <c r="F9" s="49">
        <v>30051999.770175878</v>
      </c>
      <c r="G9" s="49">
        <v>30051999.770175878</v>
      </c>
      <c r="H9" s="50"/>
      <c r="I9" s="49">
        <v>0</v>
      </c>
      <c r="J9" s="49">
        <v>29906835.387731116</v>
      </c>
      <c r="K9" s="49">
        <f>I9+J9</f>
        <v>29906835.387731116</v>
      </c>
      <c r="L9" s="49">
        <f>E9+G9+K9</f>
        <v>88134417.157906994</v>
      </c>
      <c r="M9" s="46"/>
      <c r="N9" s="44"/>
      <c r="O9" s="44">
        <f>K9*0.99</f>
        <v>29607767.033853807</v>
      </c>
      <c r="P9" s="44">
        <f t="shared" ref="P9:P43" si="2">N9+O9</f>
        <v>29607767.033853807</v>
      </c>
      <c r="Q9" s="51" t="s">
        <v>29</v>
      </c>
      <c r="R9" s="44">
        <f t="shared" si="0"/>
        <v>29607767.033853807</v>
      </c>
      <c r="S9" s="46"/>
      <c r="T9" s="52">
        <f>R9*1.005</f>
        <v>29755805.869023073</v>
      </c>
      <c r="U9" s="52">
        <v>0</v>
      </c>
      <c r="V9" s="52">
        <f>T9*1.005</f>
        <v>29904584.898368187</v>
      </c>
      <c r="W9" s="53">
        <f>U9+V9</f>
        <v>29904584.898368187</v>
      </c>
      <c r="X9" s="53">
        <f>T9+W9</f>
        <v>59660390.767391264</v>
      </c>
      <c r="Y9" s="54" t="s">
        <v>30</v>
      </c>
      <c r="Z9" s="49">
        <f>T9-R9</f>
        <v>148038.83516926691</v>
      </c>
      <c r="AA9" s="49">
        <f>V9-T9</f>
        <v>148779.02934511378</v>
      </c>
    </row>
    <row r="10" spans="1:27" ht="34.5" customHeight="1">
      <c r="A10" s="32">
        <f t="shared" si="1"/>
        <v>4</v>
      </c>
      <c r="B10" s="13" t="s">
        <v>31</v>
      </c>
      <c r="C10" s="49"/>
      <c r="D10" s="49">
        <v>-5450119.6995825553</v>
      </c>
      <c r="E10" s="49"/>
      <c r="F10" s="49">
        <v>-1533949.7290676893</v>
      </c>
      <c r="G10" s="49">
        <v>-1533949.7290676893</v>
      </c>
      <c r="H10" s="50" t="s">
        <v>32</v>
      </c>
      <c r="I10" s="49">
        <v>0</v>
      </c>
      <c r="J10" s="49">
        <v>-1562632.9276243018</v>
      </c>
      <c r="K10" s="49">
        <f t="shared" ref="K10:K43" si="3">I10+J10</f>
        <v>-1562632.9276243018</v>
      </c>
      <c r="L10" s="49"/>
      <c r="M10" s="46"/>
      <c r="N10" s="44"/>
      <c r="O10" s="44">
        <v>-550000</v>
      </c>
      <c r="P10" s="44">
        <f t="shared" si="2"/>
        <v>-550000</v>
      </c>
      <c r="Q10" s="36" t="s">
        <v>33</v>
      </c>
      <c r="R10" s="44">
        <f t="shared" si="0"/>
        <v>-550000</v>
      </c>
      <c r="S10" s="46"/>
      <c r="T10" s="53">
        <v>-750000</v>
      </c>
      <c r="U10" s="53"/>
      <c r="V10" s="52">
        <v>-750000</v>
      </c>
      <c r="W10" s="53">
        <f t="shared" ref="W10:W43" si="4">U10+V10</f>
        <v>-750000</v>
      </c>
      <c r="X10" s="53">
        <f t="shared" ref="X10:X43" si="5">T10+W10</f>
        <v>-1500000</v>
      </c>
      <c r="Y10" s="38" t="s">
        <v>34</v>
      </c>
    </row>
    <row r="11" spans="1:27" ht="15" customHeight="1">
      <c r="A11" s="32" t="s">
        <v>35</v>
      </c>
      <c r="B11" s="13" t="s">
        <v>36</v>
      </c>
      <c r="C11" s="49"/>
      <c r="D11" s="49"/>
      <c r="E11" s="49"/>
      <c r="F11" s="49"/>
      <c r="G11" s="49"/>
      <c r="H11" s="50"/>
      <c r="I11" s="49"/>
      <c r="J11" s="49">
        <v>-1000000</v>
      </c>
      <c r="K11" s="49">
        <f t="shared" si="3"/>
        <v>-1000000</v>
      </c>
      <c r="L11" s="49"/>
      <c r="M11" s="46"/>
      <c r="N11" s="44"/>
      <c r="O11" s="44"/>
      <c r="P11" s="44">
        <f t="shared" si="2"/>
        <v>0</v>
      </c>
      <c r="Q11" s="36"/>
      <c r="R11" s="44">
        <f t="shared" si="0"/>
        <v>0</v>
      </c>
      <c r="S11" s="46"/>
      <c r="T11" s="53"/>
      <c r="U11" s="53"/>
      <c r="V11" s="52">
        <f t="shared" ref="V11:V40" si="6">T11*1.01</f>
        <v>0</v>
      </c>
      <c r="W11" s="53">
        <f t="shared" si="4"/>
        <v>0</v>
      </c>
      <c r="X11" s="53">
        <f t="shared" si="5"/>
        <v>0</v>
      </c>
      <c r="Y11" s="38"/>
    </row>
    <row r="12" spans="1:27" ht="30.75" customHeight="1">
      <c r="A12" s="32">
        <f>A10+1</f>
        <v>5</v>
      </c>
      <c r="B12" s="13" t="s">
        <v>37</v>
      </c>
      <c r="C12" s="49">
        <v>28232258.343539998</v>
      </c>
      <c r="D12" s="49">
        <v>31756346.32</v>
      </c>
      <c r="E12" s="49">
        <v>9567469</v>
      </c>
      <c r="F12" s="49">
        <v>10706086.037160002</v>
      </c>
      <c r="G12" s="49">
        <v>10706086.037160002</v>
      </c>
      <c r="H12" s="50" t="s">
        <v>38</v>
      </c>
      <c r="I12" s="49">
        <v>0</v>
      </c>
      <c r="J12" s="49">
        <v>10805594.017899999</v>
      </c>
      <c r="K12" s="49">
        <f t="shared" si="3"/>
        <v>10805594.017899999</v>
      </c>
      <c r="L12" s="49">
        <f>E12+G12+K12</f>
        <v>31079149.055059999</v>
      </c>
      <c r="M12" s="46"/>
      <c r="N12" s="44"/>
      <c r="O12" s="44">
        <v>11687401.026729999</v>
      </c>
      <c r="P12" s="44">
        <f t="shared" si="2"/>
        <v>11687401.026729999</v>
      </c>
      <c r="Q12" s="36" t="s">
        <v>39</v>
      </c>
      <c r="R12" s="44">
        <f t="shared" si="0"/>
        <v>11687401.026729999</v>
      </c>
      <c r="S12" s="46"/>
      <c r="T12" s="53">
        <v>12556711.846900001</v>
      </c>
      <c r="U12" s="53"/>
      <c r="V12" s="53">
        <v>13522612.758199999</v>
      </c>
      <c r="W12" s="53">
        <f t="shared" si="4"/>
        <v>13522612.758199999</v>
      </c>
      <c r="X12" s="53">
        <f t="shared" si="5"/>
        <v>26079324.605099998</v>
      </c>
      <c r="Y12" s="38" t="s">
        <v>40</v>
      </c>
    </row>
    <row r="13" spans="1:27" ht="15" customHeight="1">
      <c r="A13" s="32">
        <f t="shared" si="1"/>
        <v>6</v>
      </c>
      <c r="B13" s="13" t="s">
        <v>41</v>
      </c>
      <c r="C13" s="49"/>
      <c r="D13" s="49">
        <v>675000</v>
      </c>
      <c r="E13" s="49"/>
      <c r="F13" s="49">
        <v>225000</v>
      </c>
      <c r="G13" s="49">
        <v>225000</v>
      </c>
      <c r="H13" s="50" t="s">
        <v>38</v>
      </c>
      <c r="I13" s="49">
        <v>0</v>
      </c>
      <c r="J13" s="49">
        <v>225000</v>
      </c>
      <c r="K13" s="49">
        <f t="shared" si="3"/>
        <v>225000</v>
      </c>
      <c r="L13" s="49"/>
      <c r="M13" s="46"/>
      <c r="N13" s="44"/>
      <c r="O13" s="44">
        <v>225000</v>
      </c>
      <c r="P13" s="44">
        <f t="shared" si="2"/>
        <v>225000</v>
      </c>
      <c r="Q13" s="36" t="s">
        <v>42</v>
      </c>
      <c r="R13" s="44">
        <f t="shared" si="0"/>
        <v>225000</v>
      </c>
      <c r="S13" s="46"/>
      <c r="T13" s="53">
        <v>225000</v>
      </c>
      <c r="U13" s="53"/>
      <c r="V13" s="52">
        <f t="shared" si="6"/>
        <v>227250</v>
      </c>
      <c r="W13" s="53">
        <f t="shared" si="4"/>
        <v>227250</v>
      </c>
      <c r="X13" s="53">
        <f t="shared" si="5"/>
        <v>452250</v>
      </c>
      <c r="Y13" s="38" t="s">
        <v>42</v>
      </c>
    </row>
    <row r="14" spans="1:27" ht="28.15" customHeight="1">
      <c r="A14" s="32">
        <f t="shared" si="1"/>
        <v>7</v>
      </c>
      <c r="B14" s="13" t="s">
        <v>43</v>
      </c>
      <c r="C14" s="49"/>
      <c r="D14" s="49">
        <v>675000</v>
      </c>
      <c r="E14" s="49"/>
      <c r="F14" s="49">
        <v>210000</v>
      </c>
      <c r="G14" s="49">
        <f>200000</f>
        <v>200000</v>
      </c>
      <c r="H14" s="50" t="s">
        <v>44</v>
      </c>
      <c r="I14" s="49">
        <v>0</v>
      </c>
      <c r="J14" s="49">
        <v>225000</v>
      </c>
      <c r="K14" s="49">
        <f t="shared" si="3"/>
        <v>225000</v>
      </c>
      <c r="L14" s="49"/>
      <c r="M14" s="46"/>
      <c r="N14" s="44"/>
      <c r="O14" s="44">
        <f>6000000*0.0275</f>
        <v>165000</v>
      </c>
      <c r="P14" s="44">
        <f t="shared" si="2"/>
        <v>165000</v>
      </c>
      <c r="Q14" s="36" t="s">
        <v>45</v>
      </c>
      <c r="R14" s="44">
        <f t="shared" si="0"/>
        <v>165000</v>
      </c>
      <c r="S14" s="46"/>
      <c r="T14" s="53">
        <v>165000</v>
      </c>
      <c r="U14" s="53"/>
      <c r="V14" s="52">
        <v>165000</v>
      </c>
      <c r="W14" s="53">
        <f t="shared" si="4"/>
        <v>165000</v>
      </c>
      <c r="X14" s="53">
        <f t="shared" si="5"/>
        <v>330000</v>
      </c>
      <c r="Y14" s="54" t="s">
        <v>45</v>
      </c>
    </row>
    <row r="15" spans="1:27" ht="45.4" customHeight="1">
      <c r="A15" s="32">
        <f t="shared" si="1"/>
        <v>8</v>
      </c>
      <c r="B15" s="13" t="s">
        <v>46</v>
      </c>
      <c r="C15" s="49"/>
      <c r="D15" s="49">
        <v>0</v>
      </c>
      <c r="E15" s="49">
        <v>135497</v>
      </c>
      <c r="F15" s="49">
        <v>200000</v>
      </c>
      <c r="G15" s="49">
        <v>200000</v>
      </c>
      <c r="H15" s="50" t="s">
        <v>47</v>
      </c>
      <c r="I15" s="49"/>
      <c r="J15" s="49">
        <v>200000</v>
      </c>
      <c r="K15" s="49">
        <v>230000</v>
      </c>
      <c r="L15" s="49">
        <f t="shared" ref="L15:L36" si="7">E15+G15+K15</f>
        <v>565497</v>
      </c>
      <c r="M15" s="46"/>
      <c r="N15" s="44"/>
      <c r="O15" s="44">
        <v>230000</v>
      </c>
      <c r="P15" s="44">
        <f t="shared" si="2"/>
        <v>230000</v>
      </c>
      <c r="Q15" s="36" t="s">
        <v>48</v>
      </c>
      <c r="R15" s="44">
        <f t="shared" si="0"/>
        <v>230000</v>
      </c>
      <c r="S15" s="46"/>
      <c r="T15" s="53"/>
      <c r="U15" s="53"/>
      <c r="V15" s="52">
        <f t="shared" si="6"/>
        <v>0</v>
      </c>
      <c r="W15" s="53">
        <f t="shared" si="4"/>
        <v>0</v>
      </c>
      <c r="X15" s="53">
        <f t="shared" si="5"/>
        <v>0</v>
      </c>
      <c r="Y15" s="38"/>
    </row>
    <row r="16" spans="1:27" ht="15" customHeight="1">
      <c r="A16" s="32">
        <f t="shared" si="1"/>
        <v>9</v>
      </c>
      <c r="B16" s="13" t="s">
        <v>49</v>
      </c>
      <c r="C16" s="49"/>
      <c r="D16" s="49">
        <v>1000000</v>
      </c>
      <c r="E16" s="49">
        <v>291907</v>
      </c>
      <c r="F16" s="49">
        <v>350000</v>
      </c>
      <c r="G16" s="49">
        <v>350000</v>
      </c>
      <c r="H16" s="50"/>
      <c r="I16" s="49">
        <v>0</v>
      </c>
      <c r="J16" s="49">
        <v>400000</v>
      </c>
      <c r="K16" s="49">
        <f t="shared" si="3"/>
        <v>400000</v>
      </c>
      <c r="L16" s="49">
        <f t="shared" si="7"/>
        <v>1041907</v>
      </c>
      <c r="M16" s="46"/>
      <c r="N16" s="44"/>
      <c r="O16" s="44">
        <v>450000</v>
      </c>
      <c r="P16" s="44">
        <f t="shared" si="2"/>
        <v>450000</v>
      </c>
      <c r="Q16" s="36" t="s">
        <v>50</v>
      </c>
      <c r="R16" s="44">
        <f t="shared" si="0"/>
        <v>450000</v>
      </c>
      <c r="S16" s="46"/>
      <c r="T16" s="53">
        <v>500000</v>
      </c>
      <c r="U16" s="53"/>
      <c r="V16" s="52">
        <v>500000</v>
      </c>
      <c r="W16" s="53">
        <f t="shared" si="4"/>
        <v>500000</v>
      </c>
      <c r="X16" s="53">
        <f t="shared" si="5"/>
        <v>1000000</v>
      </c>
      <c r="Y16" s="38" t="s">
        <v>51</v>
      </c>
    </row>
    <row r="17" spans="1:25" ht="33.4" customHeight="1">
      <c r="A17" s="32">
        <f t="shared" si="1"/>
        <v>10</v>
      </c>
      <c r="B17" s="13" t="s">
        <v>52</v>
      </c>
      <c r="C17" s="49">
        <v>1100000</v>
      </c>
      <c r="D17" s="49">
        <v>0</v>
      </c>
      <c r="E17" s="49"/>
      <c r="F17" s="49">
        <v>0</v>
      </c>
      <c r="G17" s="49"/>
      <c r="H17" s="50"/>
      <c r="I17" s="49"/>
      <c r="J17" s="49">
        <v>0</v>
      </c>
      <c r="K17" s="49">
        <f t="shared" si="3"/>
        <v>0</v>
      </c>
      <c r="L17" s="49">
        <f t="shared" si="7"/>
        <v>0</v>
      </c>
      <c r="M17" s="46"/>
      <c r="N17" s="44"/>
      <c r="O17" s="44">
        <v>0</v>
      </c>
      <c r="P17" s="44">
        <f t="shared" si="2"/>
        <v>0</v>
      </c>
      <c r="Q17" s="36"/>
      <c r="R17" s="44">
        <f t="shared" si="0"/>
        <v>0</v>
      </c>
      <c r="S17" s="46"/>
      <c r="T17" s="53">
        <v>0</v>
      </c>
      <c r="U17" s="53"/>
      <c r="V17" s="52">
        <v>0</v>
      </c>
      <c r="W17" s="53">
        <f t="shared" si="4"/>
        <v>0</v>
      </c>
      <c r="X17" s="53">
        <f t="shared" si="5"/>
        <v>0</v>
      </c>
      <c r="Y17" s="38"/>
    </row>
    <row r="18" spans="1:25" ht="16.5" customHeight="1">
      <c r="A18" s="32" t="s">
        <v>53</v>
      </c>
      <c r="B18" s="13" t="s">
        <v>54</v>
      </c>
      <c r="C18" s="49">
        <v>2000000</v>
      </c>
      <c r="D18" s="49">
        <v>1000000</v>
      </c>
      <c r="E18" s="55"/>
      <c r="F18" s="55">
        <v>333333.33333333331</v>
      </c>
      <c r="G18" s="55">
        <f>1000000/3</f>
        <v>333333.33333333331</v>
      </c>
      <c r="H18" s="56" t="s">
        <v>55</v>
      </c>
      <c r="I18" s="49">
        <v>0</v>
      </c>
      <c r="J18" s="49">
        <v>333333.33333333331</v>
      </c>
      <c r="K18" s="49">
        <f t="shared" si="3"/>
        <v>333333.33333333331</v>
      </c>
      <c r="L18" s="49">
        <f t="shared" si="7"/>
        <v>666666.66666666663</v>
      </c>
      <c r="M18" s="46"/>
      <c r="N18" s="44"/>
      <c r="O18" s="44">
        <v>0</v>
      </c>
      <c r="P18" s="44">
        <f t="shared" si="2"/>
        <v>0</v>
      </c>
      <c r="Q18" s="36" t="s">
        <v>56</v>
      </c>
      <c r="R18" s="44">
        <f t="shared" si="0"/>
        <v>0</v>
      </c>
      <c r="S18" s="46"/>
      <c r="T18" s="53"/>
      <c r="U18" s="53"/>
      <c r="V18" s="52">
        <f t="shared" si="6"/>
        <v>0</v>
      </c>
      <c r="W18" s="53">
        <f t="shared" si="4"/>
        <v>0</v>
      </c>
      <c r="X18" s="53">
        <f t="shared" si="5"/>
        <v>0</v>
      </c>
      <c r="Y18" s="38"/>
    </row>
    <row r="19" spans="1:25" ht="15" customHeight="1">
      <c r="A19" s="32" t="s">
        <v>57</v>
      </c>
      <c r="B19" s="13" t="s">
        <v>58</v>
      </c>
      <c r="C19" s="49"/>
      <c r="D19" s="49"/>
      <c r="E19" s="55"/>
      <c r="F19" s="55">
        <v>0</v>
      </c>
      <c r="G19" s="55"/>
      <c r="H19" s="56"/>
      <c r="I19" s="49">
        <v>0</v>
      </c>
      <c r="J19" s="49">
        <v>0</v>
      </c>
      <c r="K19" s="49">
        <f t="shared" si="3"/>
        <v>0</v>
      </c>
      <c r="L19" s="49">
        <f t="shared" si="7"/>
        <v>0</v>
      </c>
      <c r="M19" s="46"/>
      <c r="N19" s="44"/>
      <c r="O19" s="44">
        <v>0</v>
      </c>
      <c r="P19" s="44">
        <f t="shared" si="2"/>
        <v>0</v>
      </c>
      <c r="Q19" s="36"/>
      <c r="R19" s="44">
        <f t="shared" si="0"/>
        <v>0</v>
      </c>
      <c r="S19" s="46"/>
      <c r="T19" s="53"/>
      <c r="U19" s="53"/>
      <c r="V19" s="52">
        <f t="shared" si="6"/>
        <v>0</v>
      </c>
      <c r="W19" s="53">
        <f t="shared" si="4"/>
        <v>0</v>
      </c>
      <c r="X19" s="53">
        <f t="shared" si="5"/>
        <v>0</v>
      </c>
      <c r="Y19" s="38"/>
    </row>
    <row r="20" spans="1:25" ht="16.899999999999999" customHeight="1">
      <c r="A20" s="32" t="s">
        <v>59</v>
      </c>
      <c r="B20" s="13" t="s">
        <v>60</v>
      </c>
      <c r="C20" s="49"/>
      <c r="D20" s="49"/>
      <c r="E20" s="55"/>
      <c r="F20" s="55"/>
      <c r="G20" s="55"/>
      <c r="H20" s="56"/>
      <c r="I20" s="49"/>
      <c r="J20" s="49"/>
      <c r="K20" s="49"/>
      <c r="L20" s="49"/>
      <c r="M20" s="46"/>
      <c r="N20" s="44"/>
      <c r="O20" s="44">
        <f>2689261-400000</f>
        <v>2289261</v>
      </c>
      <c r="P20" s="44">
        <f>N20+O20</f>
        <v>2289261</v>
      </c>
      <c r="Q20" s="36" t="s">
        <v>1111</v>
      </c>
      <c r="R20" s="44">
        <f t="shared" si="0"/>
        <v>2289261</v>
      </c>
      <c r="S20" s="46"/>
      <c r="T20" s="53"/>
      <c r="U20" s="53"/>
      <c r="V20" s="52">
        <f t="shared" si="6"/>
        <v>0</v>
      </c>
      <c r="W20" s="53">
        <f t="shared" si="4"/>
        <v>0</v>
      </c>
      <c r="X20" s="53">
        <f t="shared" si="5"/>
        <v>0</v>
      </c>
      <c r="Y20" s="38"/>
    </row>
    <row r="21" spans="1:25" ht="16.899999999999999" customHeight="1">
      <c r="A21" s="32" t="s">
        <v>61</v>
      </c>
      <c r="B21" s="13" t="s">
        <v>62</v>
      </c>
      <c r="C21" s="49"/>
      <c r="D21" s="49"/>
      <c r="E21" s="55"/>
      <c r="F21" s="55"/>
      <c r="G21" s="55"/>
      <c r="H21" s="56"/>
      <c r="I21" s="49"/>
      <c r="J21" s="49"/>
      <c r="K21" s="49"/>
      <c r="L21" s="49"/>
      <c r="M21" s="46"/>
      <c r="N21" s="44"/>
      <c r="O21" s="44">
        <v>2467977</v>
      </c>
      <c r="P21" s="44">
        <f t="shared" si="2"/>
        <v>2467977</v>
      </c>
      <c r="Q21" s="36"/>
      <c r="R21" s="44"/>
      <c r="S21" s="46"/>
      <c r="T21" s="53"/>
      <c r="U21" s="53"/>
      <c r="V21" s="52"/>
      <c r="W21" s="53"/>
      <c r="X21" s="53"/>
      <c r="Y21" s="38"/>
    </row>
    <row r="22" spans="1:25" ht="17.649999999999999" customHeight="1">
      <c r="A22" s="32">
        <v>12</v>
      </c>
      <c r="B22" s="13" t="s">
        <v>63</v>
      </c>
      <c r="C22" s="49">
        <f>28232258.34354*0.1</f>
        <v>2823225.8343540002</v>
      </c>
      <c r="D22" s="49">
        <v>0</v>
      </c>
      <c r="E22" s="57"/>
      <c r="F22" s="57">
        <v>0</v>
      </c>
      <c r="G22" s="57"/>
      <c r="H22" s="58"/>
      <c r="I22" s="49">
        <v>0</v>
      </c>
      <c r="J22" s="49">
        <v>0</v>
      </c>
      <c r="K22" s="49">
        <f t="shared" si="3"/>
        <v>0</v>
      </c>
      <c r="L22" s="49">
        <f t="shared" si="7"/>
        <v>0</v>
      </c>
      <c r="M22" s="46"/>
      <c r="N22" s="44"/>
      <c r="O22" s="44">
        <v>0</v>
      </c>
      <c r="P22" s="44">
        <f t="shared" si="2"/>
        <v>0</v>
      </c>
      <c r="Q22" s="59"/>
      <c r="R22" s="44">
        <f t="shared" si="0"/>
        <v>0</v>
      </c>
      <c r="S22" s="46"/>
      <c r="T22" s="53"/>
      <c r="U22" s="53"/>
      <c r="V22" s="52">
        <f t="shared" si="6"/>
        <v>0</v>
      </c>
      <c r="W22" s="53">
        <f t="shared" si="4"/>
        <v>0</v>
      </c>
      <c r="X22" s="53">
        <f t="shared" si="5"/>
        <v>0</v>
      </c>
      <c r="Y22" s="38"/>
    </row>
    <row r="23" spans="1:25">
      <c r="A23" s="32" t="s">
        <v>64</v>
      </c>
      <c r="B23" s="13" t="s">
        <v>58</v>
      </c>
      <c r="C23" s="49">
        <v>0</v>
      </c>
      <c r="D23" s="49">
        <v>0</v>
      </c>
      <c r="E23" s="57"/>
      <c r="F23" s="57">
        <v>0</v>
      </c>
      <c r="G23" s="57"/>
      <c r="H23" s="58"/>
      <c r="I23" s="49">
        <v>0</v>
      </c>
      <c r="J23" s="49">
        <v>0</v>
      </c>
      <c r="K23" s="49">
        <f t="shared" si="3"/>
        <v>0</v>
      </c>
      <c r="L23" s="49">
        <f t="shared" si="7"/>
        <v>0</v>
      </c>
      <c r="M23" s="46"/>
      <c r="N23" s="44"/>
      <c r="O23" s="44">
        <v>0</v>
      </c>
      <c r="P23" s="44">
        <f t="shared" si="2"/>
        <v>0</v>
      </c>
      <c r="Q23" s="59"/>
      <c r="R23" s="44">
        <f t="shared" si="0"/>
        <v>0</v>
      </c>
      <c r="S23" s="46"/>
      <c r="T23" s="53"/>
      <c r="U23" s="53"/>
      <c r="V23" s="52">
        <f t="shared" si="6"/>
        <v>0</v>
      </c>
      <c r="W23" s="53">
        <f t="shared" si="4"/>
        <v>0</v>
      </c>
      <c r="X23" s="53">
        <f t="shared" si="5"/>
        <v>0</v>
      </c>
      <c r="Y23" s="38"/>
    </row>
    <row r="24" spans="1:25" ht="15" customHeight="1">
      <c r="A24" s="32" t="s">
        <v>65</v>
      </c>
      <c r="B24" s="13" t="s">
        <v>66</v>
      </c>
      <c r="C24" s="49"/>
      <c r="D24" s="49">
        <v>0</v>
      </c>
      <c r="E24" s="57"/>
      <c r="F24" s="55">
        <v>317792.99616565253</v>
      </c>
      <c r="G24" s="55">
        <v>317792.99616565253</v>
      </c>
      <c r="H24" s="58"/>
      <c r="I24" s="49">
        <v>0</v>
      </c>
      <c r="J24" s="49">
        <v>317793</v>
      </c>
      <c r="K24" s="49">
        <f t="shared" si="3"/>
        <v>317793</v>
      </c>
      <c r="L24" s="49">
        <f t="shared" si="7"/>
        <v>635585.99616565253</v>
      </c>
      <c r="M24" s="46"/>
      <c r="N24" s="44"/>
      <c r="O24" s="44">
        <v>0</v>
      </c>
      <c r="P24" s="44">
        <f t="shared" si="2"/>
        <v>0</v>
      </c>
      <c r="Q24" s="59" t="s">
        <v>67</v>
      </c>
      <c r="R24" s="44">
        <f t="shared" si="0"/>
        <v>0</v>
      </c>
      <c r="S24" s="46"/>
      <c r="T24" s="53"/>
      <c r="U24" s="53"/>
      <c r="V24" s="52">
        <f t="shared" si="6"/>
        <v>0</v>
      </c>
      <c r="W24" s="53">
        <f t="shared" si="4"/>
        <v>0</v>
      </c>
      <c r="X24" s="53">
        <f t="shared" si="5"/>
        <v>0</v>
      </c>
      <c r="Y24" s="38"/>
    </row>
    <row r="25" spans="1:25" ht="15.4" customHeight="1">
      <c r="A25" s="32">
        <v>14</v>
      </c>
      <c r="B25" s="13" t="s">
        <v>68</v>
      </c>
      <c r="C25" s="49">
        <v>9999607</v>
      </c>
      <c r="D25" s="49">
        <v>9837896.9604000002</v>
      </c>
      <c r="E25" s="55">
        <v>2322164</v>
      </c>
      <c r="F25" s="55">
        <v>2954434.1399999997</v>
      </c>
      <c r="G25" s="57">
        <v>2854000</v>
      </c>
      <c r="H25" s="58" t="s">
        <v>44</v>
      </c>
      <c r="I25" s="49">
        <v>0</v>
      </c>
      <c r="J25" s="49">
        <v>3410000</v>
      </c>
      <c r="K25" s="49">
        <f t="shared" si="3"/>
        <v>3410000</v>
      </c>
      <c r="L25" s="49">
        <f t="shared" si="7"/>
        <v>8586164</v>
      </c>
      <c r="M25" s="46"/>
      <c r="N25" s="44"/>
      <c r="O25" s="44">
        <v>3107885</v>
      </c>
      <c r="P25" s="44">
        <f t="shared" si="2"/>
        <v>3107885</v>
      </c>
      <c r="Q25" s="59" t="s">
        <v>69</v>
      </c>
      <c r="R25" s="44">
        <f t="shared" si="0"/>
        <v>3107885</v>
      </c>
      <c r="S25" s="46"/>
      <c r="T25" s="53">
        <f>'[3]rent 2022-2024'!P21</f>
        <v>3366989.9295000001</v>
      </c>
      <c r="U25" s="53"/>
      <c r="V25" s="53">
        <f>'[3]rent 2022-2024'!U21</f>
        <v>3618090.4909666665</v>
      </c>
      <c r="W25" s="53">
        <f t="shared" si="4"/>
        <v>3618090.4909666665</v>
      </c>
      <c r="X25" s="53">
        <f t="shared" si="5"/>
        <v>6985080.420466667</v>
      </c>
      <c r="Y25" s="38" t="s">
        <v>70</v>
      </c>
    </row>
    <row r="26" spans="1:25" ht="15" customHeight="1">
      <c r="A26" s="32">
        <f t="shared" si="1"/>
        <v>15</v>
      </c>
      <c r="B26" s="13" t="s">
        <v>71</v>
      </c>
      <c r="C26" s="49"/>
      <c r="D26" s="49"/>
      <c r="E26" s="49"/>
      <c r="G26" s="49"/>
      <c r="H26" s="50"/>
      <c r="I26" s="49">
        <v>0</v>
      </c>
      <c r="J26" s="49">
        <v>0</v>
      </c>
      <c r="K26" s="49">
        <f t="shared" si="3"/>
        <v>0</v>
      </c>
      <c r="L26" s="49">
        <f t="shared" si="7"/>
        <v>0</v>
      </c>
      <c r="M26" s="46"/>
      <c r="N26" s="44"/>
      <c r="O26" s="44"/>
      <c r="P26" s="44">
        <f t="shared" si="2"/>
        <v>0</v>
      </c>
      <c r="Q26" s="36"/>
      <c r="R26" s="44">
        <f t="shared" si="0"/>
        <v>0</v>
      </c>
      <c r="S26" s="46"/>
      <c r="T26" s="53"/>
      <c r="U26" s="53"/>
      <c r="V26" s="52">
        <f t="shared" si="6"/>
        <v>0</v>
      </c>
      <c r="W26" s="53">
        <f t="shared" si="4"/>
        <v>0</v>
      </c>
      <c r="X26" s="53">
        <f t="shared" si="5"/>
        <v>0</v>
      </c>
      <c r="Y26" s="38"/>
    </row>
    <row r="27" spans="1:25" ht="15" customHeight="1">
      <c r="A27" s="32">
        <f t="shared" si="1"/>
        <v>16</v>
      </c>
      <c r="B27" s="61" t="s">
        <v>72</v>
      </c>
      <c r="C27" s="49">
        <v>1252529.6600000001</v>
      </c>
      <c r="D27" s="49">
        <v>1352530</v>
      </c>
      <c r="E27" s="49">
        <v>19359</v>
      </c>
      <c r="G27" s="49"/>
      <c r="H27" s="50"/>
      <c r="I27" s="49">
        <v>1352530</v>
      </c>
      <c r="J27" s="49">
        <v>0</v>
      </c>
      <c r="K27" s="49">
        <f t="shared" si="3"/>
        <v>1352530</v>
      </c>
      <c r="L27" s="49">
        <f t="shared" si="7"/>
        <v>1371889</v>
      </c>
      <c r="M27" s="46"/>
      <c r="N27" s="44">
        <f>K27</f>
        <v>1352530</v>
      </c>
      <c r="O27" s="44"/>
      <c r="P27" s="44">
        <f t="shared" si="2"/>
        <v>1352530</v>
      </c>
      <c r="Q27" s="36" t="s">
        <v>73</v>
      </c>
      <c r="R27" s="44">
        <f t="shared" si="0"/>
        <v>0</v>
      </c>
      <c r="S27" s="46"/>
      <c r="T27" s="53"/>
      <c r="U27" s="53">
        <v>1500000</v>
      </c>
      <c r="V27" s="52">
        <f t="shared" si="6"/>
        <v>0</v>
      </c>
      <c r="W27" s="53">
        <f t="shared" si="4"/>
        <v>1500000</v>
      </c>
      <c r="X27" s="53">
        <f t="shared" si="5"/>
        <v>1500000</v>
      </c>
      <c r="Y27" s="38"/>
    </row>
    <row r="28" spans="1:25" ht="15" customHeight="1">
      <c r="A28" s="32">
        <f t="shared" si="1"/>
        <v>17</v>
      </c>
      <c r="B28" s="61" t="s">
        <v>74</v>
      </c>
      <c r="C28" s="49">
        <v>189416.7</v>
      </c>
      <c r="D28" s="49">
        <v>0</v>
      </c>
      <c r="E28" s="49"/>
      <c r="G28" s="49"/>
      <c r="H28" s="50"/>
      <c r="I28" s="49">
        <v>0</v>
      </c>
      <c r="J28" s="49">
        <v>0</v>
      </c>
      <c r="K28" s="49">
        <f t="shared" si="3"/>
        <v>0</v>
      </c>
      <c r="L28" s="49">
        <f t="shared" si="7"/>
        <v>0</v>
      </c>
      <c r="M28" s="46"/>
      <c r="N28" s="44"/>
      <c r="O28" s="44"/>
      <c r="P28" s="44">
        <f t="shared" si="2"/>
        <v>0</v>
      </c>
      <c r="Q28" s="36" t="s">
        <v>75</v>
      </c>
      <c r="R28" s="44">
        <f t="shared" si="0"/>
        <v>0</v>
      </c>
      <c r="S28" s="46"/>
      <c r="T28" s="53"/>
      <c r="U28" s="53"/>
      <c r="V28" s="52">
        <f t="shared" si="6"/>
        <v>0</v>
      </c>
      <c r="W28" s="53">
        <f t="shared" si="4"/>
        <v>0</v>
      </c>
      <c r="X28" s="53">
        <f t="shared" si="5"/>
        <v>0</v>
      </c>
      <c r="Y28" s="38"/>
    </row>
    <row r="29" spans="1:25" ht="15" customHeight="1">
      <c r="A29" s="32">
        <f t="shared" si="1"/>
        <v>18</v>
      </c>
      <c r="B29" s="61" t="s">
        <v>76</v>
      </c>
      <c r="C29" s="49">
        <v>333900</v>
      </c>
      <c r="D29" s="49">
        <v>600000</v>
      </c>
      <c r="E29" s="55"/>
      <c r="F29" s="55">
        <v>200000</v>
      </c>
      <c r="G29" s="55">
        <v>210000</v>
      </c>
      <c r="H29" s="56"/>
      <c r="I29" s="49">
        <v>0</v>
      </c>
      <c r="J29" s="49">
        <v>200000</v>
      </c>
      <c r="K29" s="49">
        <f t="shared" si="3"/>
        <v>200000</v>
      </c>
      <c r="L29" s="49">
        <f t="shared" si="7"/>
        <v>410000</v>
      </c>
      <c r="M29" s="46"/>
      <c r="N29" s="44"/>
      <c r="O29" s="44">
        <v>400000</v>
      </c>
      <c r="P29" s="44">
        <f t="shared" si="2"/>
        <v>400000</v>
      </c>
      <c r="Q29" s="36" t="s">
        <v>77</v>
      </c>
      <c r="R29" s="44">
        <f t="shared" si="0"/>
        <v>400000</v>
      </c>
      <c r="S29" s="46"/>
      <c r="T29" s="53">
        <v>400000</v>
      </c>
      <c r="U29" s="53"/>
      <c r="V29" s="52">
        <v>400000</v>
      </c>
      <c r="W29" s="53">
        <f t="shared" si="4"/>
        <v>400000</v>
      </c>
      <c r="X29" s="53">
        <f t="shared" si="5"/>
        <v>800000</v>
      </c>
      <c r="Y29" s="62" t="s">
        <v>77</v>
      </c>
    </row>
    <row r="30" spans="1:25" ht="15" customHeight="1">
      <c r="A30" s="32">
        <f t="shared" si="1"/>
        <v>19</v>
      </c>
      <c r="B30" s="61" t="s">
        <v>58</v>
      </c>
      <c r="C30" s="49">
        <v>339083.4</v>
      </c>
      <c r="D30" s="49">
        <v>0</v>
      </c>
      <c r="E30" s="49"/>
      <c r="F30" s="49"/>
      <c r="G30" s="49"/>
      <c r="H30" s="50"/>
      <c r="I30" s="49">
        <v>0</v>
      </c>
      <c r="J30" s="49">
        <v>0</v>
      </c>
      <c r="K30" s="49">
        <f t="shared" si="3"/>
        <v>0</v>
      </c>
      <c r="L30" s="49">
        <f t="shared" si="7"/>
        <v>0</v>
      </c>
      <c r="M30" s="46"/>
      <c r="N30" s="44"/>
      <c r="O30" s="44"/>
      <c r="P30" s="44">
        <f t="shared" si="2"/>
        <v>0</v>
      </c>
      <c r="Q30" s="36"/>
      <c r="R30" s="44">
        <f t="shared" si="0"/>
        <v>0</v>
      </c>
      <c r="S30" s="46"/>
      <c r="T30" s="53"/>
      <c r="U30" s="53"/>
      <c r="V30" s="52">
        <f t="shared" si="6"/>
        <v>0</v>
      </c>
      <c r="W30" s="53">
        <f t="shared" si="4"/>
        <v>0</v>
      </c>
      <c r="X30" s="53">
        <f t="shared" si="5"/>
        <v>0</v>
      </c>
      <c r="Y30" s="38"/>
    </row>
    <row r="31" spans="1:25" ht="15" customHeight="1">
      <c r="A31" s="32">
        <f t="shared" si="1"/>
        <v>20</v>
      </c>
      <c r="B31" s="61" t="s">
        <v>58</v>
      </c>
      <c r="C31" s="49">
        <v>298855.34000000003</v>
      </c>
      <c r="D31" s="49">
        <v>0</v>
      </c>
      <c r="E31" s="49"/>
      <c r="F31" s="49"/>
      <c r="G31" s="49"/>
      <c r="H31" s="50"/>
      <c r="I31" s="49">
        <v>0</v>
      </c>
      <c r="J31" s="49">
        <v>0</v>
      </c>
      <c r="K31" s="49">
        <f t="shared" si="3"/>
        <v>0</v>
      </c>
      <c r="L31" s="49">
        <f t="shared" si="7"/>
        <v>0</v>
      </c>
      <c r="M31" s="46"/>
      <c r="N31" s="44"/>
      <c r="O31" s="44"/>
      <c r="P31" s="44">
        <f t="shared" si="2"/>
        <v>0</v>
      </c>
      <c r="Q31" s="36"/>
      <c r="R31" s="44">
        <f t="shared" si="0"/>
        <v>0</v>
      </c>
      <c r="S31" s="46"/>
      <c r="T31" s="53"/>
      <c r="U31" s="53"/>
      <c r="V31" s="52">
        <f t="shared" si="6"/>
        <v>0</v>
      </c>
      <c r="W31" s="53">
        <f t="shared" si="4"/>
        <v>0</v>
      </c>
      <c r="X31" s="53">
        <f t="shared" si="5"/>
        <v>0</v>
      </c>
      <c r="Y31" s="38"/>
    </row>
    <row r="32" spans="1:25" ht="31.5" customHeight="1">
      <c r="A32" s="32">
        <f t="shared" si="1"/>
        <v>21</v>
      </c>
      <c r="B32" s="61" t="s">
        <v>78</v>
      </c>
      <c r="C32" s="49">
        <v>2164000</v>
      </c>
      <c r="D32" s="49">
        <v>1968535</v>
      </c>
      <c r="E32" s="55">
        <v>807530</v>
      </c>
      <c r="F32" s="55">
        <v>650000</v>
      </c>
      <c r="G32" s="55">
        <v>650000</v>
      </c>
      <c r="H32" s="56" t="s">
        <v>79</v>
      </c>
      <c r="I32" s="49">
        <v>0</v>
      </c>
      <c r="J32" s="49">
        <v>656178.33333333337</v>
      </c>
      <c r="K32" s="49">
        <f t="shared" si="3"/>
        <v>656178.33333333337</v>
      </c>
      <c r="L32" s="49">
        <f t="shared" si="7"/>
        <v>2113708.3333333335</v>
      </c>
      <c r="M32" s="46"/>
      <c r="N32" s="44"/>
      <c r="O32" s="44">
        <v>550000</v>
      </c>
      <c r="P32" s="44">
        <f t="shared" si="2"/>
        <v>550000</v>
      </c>
      <c r="Q32" s="36" t="s">
        <v>80</v>
      </c>
      <c r="R32" s="44">
        <f t="shared" si="0"/>
        <v>550000</v>
      </c>
      <c r="S32" s="46"/>
      <c r="T32" s="53">
        <v>600000</v>
      </c>
      <c r="U32" s="53"/>
      <c r="V32" s="52">
        <v>600000</v>
      </c>
      <c r="W32" s="53">
        <f t="shared" si="4"/>
        <v>600000</v>
      </c>
      <c r="X32" s="53">
        <f t="shared" si="5"/>
        <v>1200000</v>
      </c>
      <c r="Y32" s="38" t="s">
        <v>81</v>
      </c>
    </row>
    <row r="33" spans="1:25" ht="15" customHeight="1">
      <c r="A33" s="32">
        <f t="shared" si="1"/>
        <v>22</v>
      </c>
      <c r="B33" s="61" t="s">
        <v>82</v>
      </c>
      <c r="C33" s="49">
        <v>133560</v>
      </c>
      <c r="D33" s="49">
        <v>133560</v>
      </c>
      <c r="E33" s="55"/>
      <c r="F33" s="55">
        <v>44520</v>
      </c>
      <c r="G33" s="55">
        <v>44520</v>
      </c>
      <c r="H33" s="56"/>
      <c r="I33" s="49">
        <v>0</v>
      </c>
      <c r="J33" s="49">
        <v>44520</v>
      </c>
      <c r="K33" s="49">
        <f t="shared" si="3"/>
        <v>44520</v>
      </c>
      <c r="L33" s="49">
        <f t="shared" si="7"/>
        <v>89040</v>
      </c>
      <c r="M33" s="46"/>
      <c r="N33" s="44"/>
      <c r="O33" s="44">
        <v>40000</v>
      </c>
      <c r="P33" s="44">
        <f t="shared" si="2"/>
        <v>40000</v>
      </c>
      <c r="Q33" s="36" t="s">
        <v>83</v>
      </c>
      <c r="R33" s="44">
        <f t="shared" si="0"/>
        <v>40000</v>
      </c>
      <c r="S33" s="46"/>
      <c r="T33" s="53"/>
      <c r="U33" s="53"/>
      <c r="V33" s="52">
        <f t="shared" si="6"/>
        <v>0</v>
      </c>
      <c r="W33" s="53">
        <f t="shared" si="4"/>
        <v>0</v>
      </c>
      <c r="X33" s="53">
        <f t="shared" si="5"/>
        <v>0</v>
      </c>
      <c r="Y33" s="38"/>
    </row>
    <row r="34" spans="1:25" ht="15" customHeight="1">
      <c r="A34" s="32">
        <f>A33+1</f>
        <v>23</v>
      </c>
      <c r="B34" s="61" t="s">
        <v>58</v>
      </c>
      <c r="C34" s="49">
        <f>'MISSION BEYOND'!C108</f>
        <v>122505</v>
      </c>
      <c r="D34" s="49">
        <v>0</v>
      </c>
      <c r="E34" s="55"/>
      <c r="F34" s="55">
        <v>0</v>
      </c>
      <c r="G34" s="55"/>
      <c r="H34" s="56"/>
      <c r="I34" s="49">
        <v>0</v>
      </c>
      <c r="J34" s="49">
        <v>0</v>
      </c>
      <c r="K34" s="49">
        <f t="shared" si="3"/>
        <v>0</v>
      </c>
      <c r="L34" s="49">
        <f t="shared" si="7"/>
        <v>0</v>
      </c>
      <c r="M34" s="46"/>
      <c r="N34" s="44"/>
      <c r="O34" s="44"/>
      <c r="P34" s="44">
        <f t="shared" si="2"/>
        <v>0</v>
      </c>
      <c r="Q34" s="36"/>
      <c r="R34" s="44">
        <f t="shared" si="0"/>
        <v>0</v>
      </c>
      <c r="S34" s="46"/>
      <c r="T34" s="53"/>
      <c r="U34" s="53"/>
      <c r="V34" s="52">
        <f t="shared" si="6"/>
        <v>0</v>
      </c>
      <c r="W34" s="53">
        <f t="shared" si="4"/>
        <v>0</v>
      </c>
      <c r="X34" s="53">
        <f t="shared" si="5"/>
        <v>0</v>
      </c>
      <c r="Y34" s="38"/>
    </row>
    <row r="35" spans="1:25" ht="15" customHeight="1">
      <c r="A35" s="32">
        <f t="shared" si="1"/>
        <v>24</v>
      </c>
      <c r="B35" s="61" t="s">
        <v>58</v>
      </c>
      <c r="C35" s="49">
        <v>131877</v>
      </c>
      <c r="D35" s="49">
        <v>0</v>
      </c>
      <c r="E35" s="55"/>
      <c r="F35" s="55">
        <v>0</v>
      </c>
      <c r="G35" s="55"/>
      <c r="H35" s="56"/>
      <c r="I35" s="49">
        <v>0</v>
      </c>
      <c r="J35" s="49">
        <v>0</v>
      </c>
      <c r="K35" s="49">
        <f t="shared" si="3"/>
        <v>0</v>
      </c>
      <c r="L35" s="49">
        <f t="shared" si="7"/>
        <v>0</v>
      </c>
      <c r="M35" s="46"/>
      <c r="N35" s="44"/>
      <c r="O35" s="44"/>
      <c r="P35" s="44">
        <f t="shared" si="2"/>
        <v>0</v>
      </c>
      <c r="Q35" s="36"/>
      <c r="R35" s="44">
        <f t="shared" si="0"/>
        <v>0</v>
      </c>
      <c r="S35" s="46"/>
      <c r="T35" s="53"/>
      <c r="U35" s="53"/>
      <c r="V35" s="52">
        <f t="shared" si="6"/>
        <v>0</v>
      </c>
      <c r="W35" s="53">
        <f t="shared" si="4"/>
        <v>0</v>
      </c>
      <c r="X35" s="53">
        <f t="shared" si="5"/>
        <v>0</v>
      </c>
      <c r="Y35" s="38"/>
    </row>
    <row r="36" spans="1:25" ht="15" customHeight="1">
      <c r="A36" s="32">
        <f t="shared" si="1"/>
        <v>25</v>
      </c>
      <c r="B36" s="61" t="s">
        <v>84</v>
      </c>
      <c r="C36" s="49">
        <v>356160</v>
      </c>
      <c r="D36" s="49">
        <v>360000</v>
      </c>
      <c r="E36" s="55"/>
      <c r="F36" s="55">
        <v>220000</v>
      </c>
      <c r="G36" s="55">
        <v>210000</v>
      </c>
      <c r="H36" s="56" t="s">
        <v>85</v>
      </c>
      <c r="I36" s="49">
        <v>0</v>
      </c>
      <c r="J36" s="49">
        <v>120000</v>
      </c>
      <c r="K36" s="49">
        <f t="shared" si="3"/>
        <v>120000</v>
      </c>
      <c r="L36" s="49">
        <f t="shared" si="7"/>
        <v>330000</v>
      </c>
      <c r="M36" s="46"/>
      <c r="N36" s="44"/>
      <c r="O36" s="44">
        <v>120000</v>
      </c>
      <c r="P36" s="44">
        <f t="shared" si="2"/>
        <v>120000</v>
      </c>
      <c r="Q36" s="36" t="s">
        <v>83</v>
      </c>
      <c r="R36" s="63">
        <f t="shared" si="0"/>
        <v>120000</v>
      </c>
      <c r="S36" s="46"/>
      <c r="T36" s="53">
        <v>120000</v>
      </c>
      <c r="U36" s="53"/>
      <c r="V36" s="52">
        <v>120000</v>
      </c>
      <c r="W36" s="53">
        <f t="shared" si="4"/>
        <v>120000</v>
      </c>
      <c r="X36" s="53">
        <f t="shared" si="5"/>
        <v>240000</v>
      </c>
      <c r="Y36" s="38" t="s">
        <v>83</v>
      </c>
    </row>
    <row r="37" spans="1:25" ht="15" customHeight="1">
      <c r="A37" s="32">
        <f t="shared" si="1"/>
        <v>26</v>
      </c>
      <c r="B37" s="13" t="s">
        <v>86</v>
      </c>
      <c r="C37" s="64">
        <f>SUM(C27:C36)</f>
        <v>5321887.0999999996</v>
      </c>
      <c r="D37" s="64">
        <v>4414625</v>
      </c>
      <c r="E37" s="64">
        <f>SUM(E27:E36)</f>
        <v>826889</v>
      </c>
      <c r="F37" s="64">
        <f>SUM(F27:F36)</f>
        <v>1114520</v>
      </c>
      <c r="G37" s="64">
        <f>SUM(G27:G36)</f>
        <v>1114520</v>
      </c>
      <c r="H37" s="65"/>
      <c r="I37" s="64">
        <v>1352530</v>
      </c>
      <c r="J37" s="64">
        <v>1020698.3333333334</v>
      </c>
      <c r="K37" s="64">
        <f t="shared" ref="K37:O37" si="8">SUM(K27:K36)</f>
        <v>2373228.3333333335</v>
      </c>
      <c r="L37" s="64">
        <f t="shared" si="8"/>
        <v>4314637.333333334</v>
      </c>
      <c r="M37" s="66">
        <f t="shared" si="8"/>
        <v>0</v>
      </c>
      <c r="N37" s="67">
        <f t="shared" si="8"/>
        <v>1352530</v>
      </c>
      <c r="O37" s="67">
        <f t="shared" si="8"/>
        <v>1110000</v>
      </c>
      <c r="P37" s="67">
        <f>SUM(P27:P36)</f>
        <v>2462530</v>
      </c>
      <c r="Q37" s="68" t="s">
        <v>87</v>
      </c>
      <c r="R37" s="44">
        <f t="shared" si="0"/>
        <v>1110000</v>
      </c>
      <c r="S37" s="46"/>
      <c r="T37" s="53">
        <f t="shared" ref="T37:X37" si="9">SUM(T27:T36)</f>
        <v>1120000</v>
      </c>
      <c r="U37" s="53">
        <f t="shared" si="9"/>
        <v>1500000</v>
      </c>
      <c r="V37" s="52">
        <f t="shared" si="9"/>
        <v>1120000</v>
      </c>
      <c r="W37" s="53">
        <f t="shared" si="9"/>
        <v>2620000</v>
      </c>
      <c r="X37" s="53">
        <f t="shared" si="9"/>
        <v>3740000</v>
      </c>
      <c r="Y37" s="38"/>
    </row>
    <row r="38" spans="1:25" ht="14.25" customHeight="1">
      <c r="A38" s="32">
        <f t="shared" si="1"/>
        <v>27</v>
      </c>
      <c r="C38" s="49"/>
      <c r="D38" s="49"/>
      <c r="E38" s="49"/>
      <c r="G38" s="49"/>
      <c r="H38" s="50"/>
      <c r="I38" s="49"/>
      <c r="J38" s="49"/>
      <c r="K38" s="49">
        <f t="shared" si="3"/>
        <v>0</v>
      </c>
      <c r="L38" s="49"/>
      <c r="M38" s="46"/>
      <c r="N38" s="44"/>
      <c r="O38" s="44"/>
      <c r="P38" s="44">
        <f t="shared" si="2"/>
        <v>0</v>
      </c>
      <c r="Q38" s="36"/>
      <c r="R38" s="44">
        <v>0</v>
      </c>
      <c r="S38" s="46"/>
      <c r="T38" s="53"/>
      <c r="U38" s="53"/>
      <c r="V38" s="52">
        <f t="shared" si="6"/>
        <v>0</v>
      </c>
      <c r="W38" s="53">
        <f t="shared" si="4"/>
        <v>0</v>
      </c>
      <c r="X38" s="53">
        <f t="shared" si="5"/>
        <v>0</v>
      </c>
      <c r="Y38" s="38"/>
    </row>
    <row r="39" spans="1:25" ht="14.25" customHeight="1">
      <c r="A39" s="32" t="s">
        <v>88</v>
      </c>
      <c r="B39" s="13" t="s">
        <v>89</v>
      </c>
      <c r="C39" s="49"/>
      <c r="D39" s="49"/>
      <c r="E39" s="49"/>
      <c r="G39" s="49"/>
      <c r="H39" s="50"/>
      <c r="I39" s="49"/>
      <c r="J39" s="49"/>
      <c r="K39" s="49"/>
      <c r="L39" s="49"/>
      <c r="M39" s="46"/>
      <c r="N39" s="44"/>
      <c r="O39" s="44"/>
      <c r="P39" s="44">
        <f t="shared" si="2"/>
        <v>0</v>
      </c>
      <c r="Q39" s="36"/>
      <c r="R39" s="44"/>
      <c r="S39" s="46"/>
      <c r="T39" s="53"/>
      <c r="U39" s="53"/>
      <c r="V39" s="52"/>
      <c r="W39" s="53"/>
      <c r="X39" s="53"/>
      <c r="Y39" s="38"/>
    </row>
    <row r="40" spans="1:25" ht="15" customHeight="1">
      <c r="A40" s="32" t="s">
        <v>90</v>
      </c>
      <c r="B40" s="13" t="s">
        <v>91</v>
      </c>
      <c r="C40" s="49">
        <v>0</v>
      </c>
      <c r="D40" s="49"/>
      <c r="E40" s="49">
        <f>629442-E15+1994720</f>
        <v>2488665</v>
      </c>
      <c r="G40" s="49"/>
      <c r="H40" s="50"/>
      <c r="I40" s="49"/>
      <c r="J40" s="49"/>
      <c r="K40" s="49">
        <f t="shared" si="3"/>
        <v>0</v>
      </c>
      <c r="L40" s="49"/>
      <c r="M40" s="46"/>
      <c r="N40" s="44"/>
      <c r="O40" s="44"/>
      <c r="P40" s="44">
        <f t="shared" si="2"/>
        <v>0</v>
      </c>
      <c r="Q40" s="36" t="s">
        <v>92</v>
      </c>
      <c r="R40" s="44">
        <v>0</v>
      </c>
      <c r="S40" s="46"/>
      <c r="T40" s="53"/>
      <c r="U40" s="53"/>
      <c r="V40" s="52">
        <f t="shared" si="6"/>
        <v>0</v>
      </c>
      <c r="W40" s="53">
        <f t="shared" si="4"/>
        <v>0</v>
      </c>
      <c r="X40" s="53">
        <f t="shared" si="5"/>
        <v>0</v>
      </c>
      <c r="Y40" s="38"/>
    </row>
    <row r="41" spans="1:25" ht="15" customHeight="1">
      <c r="A41" s="32">
        <v>29</v>
      </c>
      <c r="B41" s="13" t="s">
        <v>93</v>
      </c>
      <c r="C41" s="49"/>
      <c r="D41" s="49">
        <v>300000</v>
      </c>
      <c r="E41" s="55"/>
      <c r="G41" s="55">
        <v>0</v>
      </c>
      <c r="H41" s="56"/>
      <c r="I41" s="49">
        <v>0</v>
      </c>
      <c r="J41" s="49">
        <v>100000</v>
      </c>
      <c r="K41" s="49">
        <f t="shared" si="3"/>
        <v>100000</v>
      </c>
      <c r="L41" s="49">
        <f>E41+G41+J41</f>
        <v>100000</v>
      </c>
      <c r="M41" s="46"/>
      <c r="N41" s="44"/>
      <c r="O41" s="44">
        <v>100000</v>
      </c>
      <c r="P41" s="44">
        <f t="shared" si="2"/>
        <v>100000</v>
      </c>
      <c r="Q41" s="36" t="s">
        <v>94</v>
      </c>
      <c r="R41" s="44">
        <v>100000</v>
      </c>
      <c r="S41" s="46"/>
      <c r="T41" s="53">
        <v>100000</v>
      </c>
      <c r="U41" s="53"/>
      <c r="V41" s="52">
        <v>100000</v>
      </c>
      <c r="W41" s="53">
        <f t="shared" si="4"/>
        <v>100000</v>
      </c>
      <c r="X41" s="53">
        <f t="shared" si="5"/>
        <v>200000</v>
      </c>
      <c r="Y41" s="38"/>
    </row>
    <row r="42" spans="1:25" ht="26.65" customHeight="1">
      <c r="A42" s="32">
        <f>A41+1</f>
        <v>30</v>
      </c>
      <c r="B42" s="13" t="s">
        <v>95</v>
      </c>
      <c r="C42" s="49"/>
      <c r="D42" s="49">
        <v>400000</v>
      </c>
      <c r="E42" s="49"/>
      <c r="G42" s="49"/>
      <c r="H42" s="50" t="s">
        <v>96</v>
      </c>
      <c r="I42" s="49">
        <v>0</v>
      </c>
      <c r="J42" s="49"/>
      <c r="K42" s="49">
        <f t="shared" si="3"/>
        <v>0</v>
      </c>
      <c r="L42" s="49">
        <f>E42+G42+J42</f>
        <v>0</v>
      </c>
      <c r="M42" s="46"/>
      <c r="N42" s="44"/>
      <c r="O42" s="44"/>
      <c r="P42" s="44">
        <f t="shared" si="2"/>
        <v>0</v>
      </c>
      <c r="Q42" s="36" t="s">
        <v>97</v>
      </c>
      <c r="R42" s="44">
        <v>0</v>
      </c>
      <c r="S42" s="46"/>
      <c r="T42" s="53">
        <v>400000</v>
      </c>
      <c r="U42" s="53"/>
      <c r="V42" s="52">
        <v>0</v>
      </c>
      <c r="W42" s="53">
        <f t="shared" si="4"/>
        <v>0</v>
      </c>
      <c r="X42" s="53">
        <f t="shared" si="5"/>
        <v>400000</v>
      </c>
      <c r="Y42" s="38" t="s">
        <v>98</v>
      </c>
    </row>
    <row r="43" spans="1:25" ht="15" customHeight="1">
      <c r="A43" s="32">
        <f>A42+1</f>
        <v>31</v>
      </c>
      <c r="B43" s="13" t="s">
        <v>99</v>
      </c>
      <c r="C43" s="69"/>
      <c r="D43" s="49">
        <v>395000</v>
      </c>
      <c r="E43" s="49">
        <v>132000</v>
      </c>
      <c r="G43" s="49">
        <v>132000</v>
      </c>
      <c r="H43" s="50"/>
      <c r="I43" s="49">
        <v>0</v>
      </c>
      <c r="J43" s="49">
        <v>132000</v>
      </c>
      <c r="K43" s="49">
        <f t="shared" si="3"/>
        <v>132000</v>
      </c>
      <c r="L43" s="49">
        <f>E43+G43+J43</f>
        <v>396000</v>
      </c>
      <c r="M43" s="46"/>
      <c r="N43" s="44"/>
      <c r="O43" s="44">
        <v>132000</v>
      </c>
      <c r="P43" s="44">
        <f t="shared" si="2"/>
        <v>132000</v>
      </c>
      <c r="Q43" s="41" t="s">
        <v>100</v>
      </c>
      <c r="R43" s="44">
        <v>132000</v>
      </c>
      <c r="S43" s="46"/>
      <c r="T43" s="53">
        <v>130000</v>
      </c>
      <c r="U43" s="53"/>
      <c r="V43" s="52">
        <v>130000</v>
      </c>
      <c r="W43" s="53">
        <f t="shared" si="4"/>
        <v>130000</v>
      </c>
      <c r="X43" s="53">
        <f t="shared" si="5"/>
        <v>260000</v>
      </c>
      <c r="Y43" s="38"/>
    </row>
    <row r="44" spans="1:25" s="78" customFormat="1" ht="20.100000000000001" customHeight="1" thickBot="1">
      <c r="A44" s="70">
        <f t="shared" si="1"/>
        <v>32</v>
      </c>
      <c r="B44" s="71" t="s">
        <v>101</v>
      </c>
      <c r="C44" s="72">
        <f>C37+SUM(C9:C25)+C40</f>
        <v>125083184.27789399</v>
      </c>
      <c r="D44" s="72">
        <f>SUM(D9:D43)-D37</f>
        <v>133859718.17850512</v>
      </c>
      <c r="E44" s="72">
        <f>SUM(E9:E25)+SUM(E37:E43)</f>
        <v>43940173</v>
      </c>
      <c r="F44" s="72">
        <f>SUM(F9:F43)-F37</f>
        <v>44929216.547767177</v>
      </c>
      <c r="G44" s="72">
        <f>SUM(G9:G43)-G37</f>
        <v>44950782.407767177</v>
      </c>
      <c r="H44" s="72">
        <f>SUM(H9:H43)-H37</f>
        <v>0</v>
      </c>
      <c r="I44" s="72">
        <v>1352530</v>
      </c>
      <c r="J44" s="72">
        <v>44513621.144673489</v>
      </c>
      <c r="K44" s="72">
        <f t="shared" ref="K44:O44" si="10">SUM(K9:K43)-K37</f>
        <v>45896151.144673489</v>
      </c>
      <c r="L44" s="72">
        <f t="shared" si="10"/>
        <v>135520024.20913264</v>
      </c>
      <c r="M44" s="73">
        <f t="shared" si="10"/>
        <v>0</v>
      </c>
      <c r="N44" s="74">
        <f t="shared" si="10"/>
        <v>1352530</v>
      </c>
      <c r="O44" s="74">
        <f t="shared" si="10"/>
        <v>51022291.060583808</v>
      </c>
      <c r="P44" s="74">
        <f>SUM(P9:P43)-P37</f>
        <v>52374821.060583808</v>
      </c>
      <c r="Q44" s="75"/>
      <c r="R44" s="74">
        <f>P44</f>
        <v>52374821.060583808</v>
      </c>
      <c r="S44" s="73"/>
      <c r="T44" s="76">
        <f>SUM(T9:T43)-T37</f>
        <v>47569507.64542307</v>
      </c>
      <c r="U44" s="76">
        <f>SUM(U9:U43)-U37</f>
        <v>1500000</v>
      </c>
      <c r="V44" s="76">
        <f>SUM(V9:V43)-V37</f>
        <v>48537538.147534847</v>
      </c>
      <c r="W44" s="76">
        <f>SUM(W9:W43)-W37</f>
        <v>50037538.147534847</v>
      </c>
      <c r="X44" s="76">
        <f>SUM(X9:X43)-X37</f>
        <v>97607045.792957932</v>
      </c>
      <c r="Y44" s="77"/>
    </row>
    <row r="45" spans="1:25">
      <c r="C45" s="49"/>
      <c r="D45" s="33"/>
      <c r="E45" s="33"/>
      <c r="F45" s="33"/>
      <c r="G45" s="33"/>
      <c r="H45" s="79"/>
      <c r="I45" s="33"/>
      <c r="J45" s="33"/>
      <c r="K45" s="33"/>
      <c r="L45" s="33"/>
      <c r="M45" s="17"/>
      <c r="N45" s="35"/>
      <c r="O45" s="35"/>
      <c r="P45" s="35"/>
      <c r="Q45" s="35"/>
      <c r="R45" s="37"/>
      <c r="S45" s="17"/>
      <c r="T45" s="62"/>
      <c r="U45" s="38"/>
      <c r="V45" s="38"/>
      <c r="W45" s="38"/>
      <c r="X45" s="38"/>
      <c r="Y45" s="38"/>
    </row>
    <row r="46" spans="1:25" ht="14.65" hidden="1" thickBot="1">
      <c r="A46" s="80"/>
      <c r="B46" s="81"/>
      <c r="C46" s="82"/>
      <c r="D46" s="83"/>
      <c r="E46" s="83"/>
      <c r="F46" s="83"/>
      <c r="G46" s="83"/>
      <c r="H46" s="84"/>
      <c r="I46" s="83"/>
      <c r="J46" s="83"/>
      <c r="K46" s="83">
        <f>SUM(K37:K45)</f>
        <v>48501379.478006825</v>
      </c>
      <c r="L46" s="83">
        <f>SUM(L37:L45)</f>
        <v>140330661.54246598</v>
      </c>
      <c r="M46" s="85"/>
      <c r="N46" s="86"/>
      <c r="O46" s="86"/>
      <c r="P46" s="86"/>
      <c r="Q46" s="86"/>
      <c r="R46" s="87"/>
      <c r="S46" s="85"/>
      <c r="T46" s="88"/>
      <c r="U46" s="38"/>
      <c r="V46" s="38"/>
      <c r="W46" s="38"/>
      <c r="X46" s="38"/>
      <c r="Y46" s="38"/>
    </row>
    <row r="47" spans="1:25" s="100" customFormat="1" ht="142.15" hidden="1" thickBot="1">
      <c r="A47" s="89" t="s">
        <v>102</v>
      </c>
      <c r="B47" s="90" t="s">
        <v>6</v>
      </c>
      <c r="C47" s="90" t="s">
        <v>103</v>
      </c>
      <c r="D47" s="91" t="s">
        <v>8</v>
      </c>
      <c r="E47" s="92"/>
      <c r="F47" s="93"/>
      <c r="G47" s="93"/>
      <c r="H47" s="94"/>
      <c r="I47" s="95" t="s">
        <v>104</v>
      </c>
      <c r="J47" s="95"/>
      <c r="K47" s="95"/>
      <c r="L47" s="95"/>
      <c r="M47" s="96"/>
      <c r="N47" s="23"/>
      <c r="O47" s="23"/>
      <c r="P47" s="23"/>
      <c r="Q47" s="23" t="s">
        <v>105</v>
      </c>
      <c r="R47" s="97"/>
      <c r="S47" s="96"/>
      <c r="T47" s="98" t="s">
        <v>106</v>
      </c>
      <c r="U47" s="99"/>
      <c r="V47" s="99"/>
      <c r="W47" s="99"/>
      <c r="X47" s="99"/>
      <c r="Y47" s="99"/>
    </row>
    <row r="48" spans="1:25">
      <c r="A48" s="32">
        <v>34</v>
      </c>
      <c r="B48" s="39" t="s">
        <v>107</v>
      </c>
      <c r="C48" s="101"/>
      <c r="D48" s="102"/>
      <c r="E48" s="102"/>
      <c r="F48" s="102"/>
      <c r="G48" s="102"/>
      <c r="H48" s="103"/>
      <c r="I48" s="102"/>
      <c r="J48" s="102"/>
      <c r="K48" s="102"/>
      <c r="L48" s="102"/>
      <c r="M48" s="104"/>
      <c r="N48" s="105"/>
      <c r="O48" s="105"/>
      <c r="P48" s="105"/>
      <c r="Q48" s="105"/>
      <c r="R48" s="106"/>
      <c r="S48" s="104"/>
      <c r="T48" s="107"/>
      <c r="U48" s="38"/>
      <c r="V48" s="38"/>
      <c r="W48" s="38"/>
      <c r="X48" s="38"/>
      <c r="Y48" s="38"/>
    </row>
    <row r="49" spans="1:25">
      <c r="D49" s="33"/>
      <c r="E49" s="33"/>
      <c r="F49" s="33"/>
      <c r="G49" s="33"/>
      <c r="H49" s="79"/>
      <c r="I49" s="33"/>
      <c r="J49" s="33"/>
      <c r="K49" s="33"/>
      <c r="L49" s="33"/>
      <c r="M49" s="17"/>
      <c r="N49" s="35"/>
      <c r="O49" s="35"/>
      <c r="P49" s="35"/>
      <c r="Q49" s="35"/>
      <c r="R49" s="37"/>
      <c r="S49" s="17"/>
      <c r="T49" s="62"/>
      <c r="U49" s="38"/>
      <c r="V49" s="38"/>
      <c r="W49" s="38"/>
      <c r="X49" s="38"/>
      <c r="Y49" s="38"/>
    </row>
    <row r="50" spans="1:25">
      <c r="A50" s="32" t="s">
        <v>108</v>
      </c>
      <c r="B50" s="13" t="s">
        <v>109</v>
      </c>
      <c r="C50" s="49">
        <f>EVANGELISM!C41</f>
        <v>5973225.8343540002</v>
      </c>
      <c r="D50" s="49">
        <f>EVANGELISM!D41</f>
        <v>5241773.3150487673</v>
      </c>
      <c r="E50" s="49">
        <f>EVANGELISM!E41</f>
        <v>1766017</v>
      </c>
      <c r="F50" s="49">
        <f>EVANGELISM!F41</f>
        <v>1831505.5602647681</v>
      </c>
      <c r="G50" s="49">
        <f>EVANGELISM!G41</f>
        <v>1778504.5602647681</v>
      </c>
      <c r="H50" s="50"/>
      <c r="I50" s="49">
        <f>EVANGELISM!I41</f>
        <v>36000</v>
      </c>
      <c r="J50" s="49">
        <f>EVANGELISM!J41</f>
        <v>1578126</v>
      </c>
      <c r="K50" s="49">
        <f>EVANGELISM!K41</f>
        <v>1614126</v>
      </c>
      <c r="L50" s="49">
        <f>EVANGELISM!L41</f>
        <v>5158647.5602647681</v>
      </c>
      <c r="M50" s="46"/>
      <c r="N50" s="44">
        <f>EVANGELISM!N41</f>
        <v>36000</v>
      </c>
      <c r="O50" s="44">
        <f>EVANGELISM!O41</f>
        <v>1970672.355973593</v>
      </c>
      <c r="P50" s="44">
        <f>EVANGELISM!P41</f>
        <v>2006672.355973593</v>
      </c>
      <c r="Q50" s="44"/>
      <c r="R50" s="44">
        <f t="shared" ref="R50:R59" si="11">P50</f>
        <v>2006672.355973593</v>
      </c>
      <c r="S50" s="46"/>
      <c r="T50" s="108">
        <f>EVANGELISM!T41</f>
        <v>2022932.7796490774</v>
      </c>
      <c r="U50" s="108">
        <f>EVANGELISM!U41</f>
        <v>62000</v>
      </c>
      <c r="V50" s="108">
        <f>EVANGELISM!V41</f>
        <v>2038113.2610663082</v>
      </c>
      <c r="W50" s="108">
        <f>EVANGELISM!W41</f>
        <v>2100113.2610663082</v>
      </c>
      <c r="X50" s="108">
        <f>EVANGELISM!X41</f>
        <v>4123046.0407153857</v>
      </c>
      <c r="Y50" s="38"/>
    </row>
    <row r="51" spans="1:25">
      <c r="A51" s="32" t="s">
        <v>110</v>
      </c>
      <c r="B51" s="13" t="s">
        <v>111</v>
      </c>
      <c r="C51" s="49">
        <f>'REC &amp; JUST'!C122</f>
        <v>9464925.0699986722</v>
      </c>
      <c r="D51" s="49">
        <f>'REC &amp; JUST'!D122</f>
        <v>10399057.895112257</v>
      </c>
      <c r="E51" s="49">
        <f>'REC &amp; JUST'!E122</f>
        <v>3969193</v>
      </c>
      <c r="F51" s="49">
        <f>'REC &amp; JUST'!G122</f>
        <v>2872956.7922002459</v>
      </c>
      <c r="G51" s="49">
        <f>'REC &amp; JUST'!G122</f>
        <v>2872956.7922002459</v>
      </c>
      <c r="H51" s="50"/>
      <c r="I51" s="49">
        <f>'REC &amp; JUST'!I122</f>
        <v>192152</v>
      </c>
      <c r="J51" s="49">
        <f>'REC &amp; JUST'!J122</f>
        <v>2791886.8176762233</v>
      </c>
      <c r="K51" s="49">
        <f>'REC &amp; JUST'!K122</f>
        <v>2984038.8176762233</v>
      </c>
      <c r="L51" s="49">
        <f>'REC &amp; JUST'!L122</f>
        <v>9826188.6098764688</v>
      </c>
      <c r="M51" s="46"/>
      <c r="N51" s="44">
        <f>'REC &amp; JUST'!N122</f>
        <v>192152</v>
      </c>
      <c r="O51" s="44">
        <f>'REC &amp; JUST'!O122</f>
        <v>3392832.5008139061</v>
      </c>
      <c r="P51" s="44">
        <f>'REC &amp; JUST'!P122</f>
        <v>3584984.5008139061</v>
      </c>
      <c r="Q51" s="44"/>
      <c r="R51" s="44">
        <f t="shared" si="11"/>
        <v>3584984.5008139061</v>
      </c>
      <c r="S51" s="46"/>
      <c r="T51" s="109">
        <f>'REC &amp; JUST'!T122</f>
        <v>3852362.9410382602</v>
      </c>
      <c r="U51" s="109">
        <f>'REC &amp; JUST'!U122</f>
        <v>171000</v>
      </c>
      <c r="V51" s="109">
        <f>'REC &amp; JUST'!V122</f>
        <v>3887706.2683463483</v>
      </c>
      <c r="W51" s="109">
        <f>'REC &amp; JUST'!W122</f>
        <v>4058706.2683463488</v>
      </c>
      <c r="X51" s="109">
        <f>'REC &amp; JUST'!X122</f>
        <v>7866764.1626582602</v>
      </c>
      <c r="Y51" s="38"/>
    </row>
    <row r="52" spans="1:25">
      <c r="A52" s="32" t="s">
        <v>112</v>
      </c>
      <c r="B52" s="13" t="s">
        <v>113</v>
      </c>
      <c r="C52" s="49">
        <f>'CREATION CARE'!C20</f>
        <v>650000</v>
      </c>
      <c r="D52" s="49">
        <f>'CREATION CARE'!D20</f>
        <v>1000000.2188355334</v>
      </c>
      <c r="E52" s="49">
        <f>'CREATION CARE'!D20</f>
        <v>1000000.2188355334</v>
      </c>
      <c r="F52" s="49">
        <f>'CREATION CARE'!F20</f>
        <v>364398.2084</v>
      </c>
      <c r="G52" s="49">
        <f>'CREATION CARE'!G20</f>
        <v>314398.2084</v>
      </c>
      <c r="H52" s="50"/>
      <c r="I52" s="49">
        <f>'CREATION CARE'!I20</f>
        <v>20000</v>
      </c>
      <c r="J52" s="49">
        <f>'CREATION CARE'!J20</f>
        <v>322397.831572</v>
      </c>
      <c r="K52" s="49">
        <f>'CREATION CARE'!K20</f>
        <v>342397.831572</v>
      </c>
      <c r="L52" s="49">
        <f>'CREATION CARE'!L20</f>
        <v>871582.03997200006</v>
      </c>
      <c r="M52" s="46"/>
      <c r="N52" s="44">
        <f>'CREATION CARE'!N20</f>
        <v>12000</v>
      </c>
      <c r="O52" s="44">
        <f>'CREATION CARE'!O20</f>
        <v>347872.72784340003</v>
      </c>
      <c r="P52" s="44">
        <f>'CREATION CARE'!P20</f>
        <v>359872.72784340003</v>
      </c>
      <c r="Q52" s="44"/>
      <c r="R52" s="44">
        <f t="shared" si="11"/>
        <v>359872.72784340003</v>
      </c>
      <c r="S52" s="46"/>
      <c r="T52" s="108">
        <f>'CREATION CARE'!T20</f>
        <v>388643.96331835003</v>
      </c>
      <c r="U52" s="108">
        <f>'CREATION CARE'!U20</f>
        <v>30000</v>
      </c>
      <c r="V52" s="108">
        <f>'CREATION CARE'!V20</f>
        <v>391564.11651859363</v>
      </c>
      <c r="W52" s="108">
        <f>'CREATION CARE'!W20</f>
        <v>421564.11651859363</v>
      </c>
      <c r="X52" s="108">
        <f>'CREATION CARE'!X20</f>
        <v>810208.07983694365</v>
      </c>
      <c r="Y52" s="38"/>
    </row>
    <row r="53" spans="1:25" ht="15" customHeight="1">
      <c r="A53" s="32" t="s">
        <v>114</v>
      </c>
      <c r="B53" s="13" t="s">
        <v>115</v>
      </c>
      <c r="C53" s="49">
        <f>'PB Ministry'!C58</f>
        <v>8578824.9583546575</v>
      </c>
      <c r="D53" s="49">
        <f>'PB Ministry'!D58</f>
        <v>13006051.030699112</v>
      </c>
      <c r="E53" s="49">
        <f>'PB Ministry'!D58</f>
        <v>13006051.030699112</v>
      </c>
      <c r="F53" s="49">
        <f>'PB Ministry'!F58</f>
        <v>4378789.0459537255</v>
      </c>
      <c r="G53" s="49">
        <f>'PB Ministry'!G58</f>
        <v>4098622.0459537255</v>
      </c>
      <c r="H53" s="50"/>
      <c r="I53" s="49">
        <f>'PB Ministry'!I58</f>
        <v>50500</v>
      </c>
      <c r="J53" s="49">
        <f>'PB Ministry'!J58</f>
        <v>4474549.488196278</v>
      </c>
      <c r="K53" s="49">
        <f>'PB Ministry'!K58</f>
        <v>4525049.488196278</v>
      </c>
      <c r="L53" s="49">
        <f>'PB Ministry'!L58</f>
        <v>13189299.534150003</v>
      </c>
      <c r="M53" s="46"/>
      <c r="N53" s="44">
        <f>'PB Ministry'!N58</f>
        <v>50500</v>
      </c>
      <c r="O53" s="44">
        <f>'PB Ministry'!O58</f>
        <v>4754489.3520540502</v>
      </c>
      <c r="P53" s="44">
        <f>'PB Ministry'!P58</f>
        <v>4804989.3520540502</v>
      </c>
      <c r="Q53" s="44"/>
      <c r="R53" s="44">
        <f t="shared" si="11"/>
        <v>4804989.3520540502</v>
      </c>
      <c r="S53" s="46"/>
      <c r="T53" s="108">
        <f>'PB Ministry'!T58</f>
        <v>4894591.4942990122</v>
      </c>
      <c r="U53" s="108">
        <f>'PB Ministry'!U58</f>
        <v>91500</v>
      </c>
      <c r="V53" s="108">
        <f>'PB Ministry'!V58</f>
        <v>4946496.7218031827</v>
      </c>
      <c r="W53" s="108">
        <f>'PB Ministry'!W58</f>
        <v>5037996.7218031827</v>
      </c>
      <c r="X53" s="108">
        <f>'PB Ministry'!X58</f>
        <v>9932588.216102194</v>
      </c>
      <c r="Y53" s="38"/>
    </row>
    <row r="54" spans="1:25" ht="15" customHeight="1">
      <c r="A54" s="32" t="s">
        <v>116</v>
      </c>
      <c r="B54" s="13" t="s">
        <v>117</v>
      </c>
      <c r="C54" s="49">
        <f>'MISSION WITHIN'!C209</f>
        <v>28312349.392552875</v>
      </c>
      <c r="D54" s="49">
        <f>'MISSION WITHIN'!D209</f>
        <v>28260385.437019452</v>
      </c>
      <c r="E54" s="49">
        <f>'MISSION WITHIN'!E209</f>
        <v>9137496</v>
      </c>
      <c r="F54" s="49">
        <f>'MISSION WITHIN'!G209</f>
        <v>9154385.4450039901</v>
      </c>
      <c r="G54" s="49">
        <f>'MISSION WITHIN'!G209</f>
        <v>9154385.4450039901</v>
      </c>
      <c r="H54" s="50"/>
      <c r="I54" s="49">
        <f>'MISSION WITHIN'!I209</f>
        <v>671808</v>
      </c>
      <c r="J54" s="49">
        <f>'MISSION WITHIN'!J209</f>
        <v>8712517.4524449483</v>
      </c>
      <c r="K54" s="49">
        <f>'MISSION WITHIN'!K209</f>
        <v>9645537.4524449483</v>
      </c>
      <c r="L54" s="49">
        <f>'MISSION WITHIN'!L209</f>
        <v>27937418.897448938</v>
      </c>
      <c r="M54" s="46"/>
      <c r="N54" s="44">
        <f>'MISSION WITHIN'!N209</f>
        <v>586808</v>
      </c>
      <c r="O54" s="44">
        <f>'MISSION WITHIN'!O209</f>
        <v>9782301.7888432778</v>
      </c>
      <c r="P54" s="44">
        <f>'MISSION WITHIN'!P209</f>
        <v>10364109.788843278</v>
      </c>
      <c r="Q54" s="44"/>
      <c r="R54" s="44">
        <f t="shared" si="11"/>
        <v>10364109.788843278</v>
      </c>
      <c r="S54" s="46"/>
      <c r="T54" s="108">
        <f>'MISSION WITHIN'!T209</f>
        <v>10609860.976088574</v>
      </c>
      <c r="U54" s="108">
        <f>'MISSION WITHIN'!U209</f>
        <v>508000</v>
      </c>
      <c r="V54" s="108">
        <f>'MISSION WITHIN'!V209</f>
        <v>9653760.8479627725</v>
      </c>
      <c r="W54" s="108">
        <f>'MISSION WITHIN'!W209</f>
        <v>10161760.847962772</v>
      </c>
      <c r="X54" s="108">
        <f>'MISSION WITHIN'!X209</f>
        <v>20771621.824051347</v>
      </c>
      <c r="Y54" s="38"/>
    </row>
    <row r="55" spans="1:25" ht="15" customHeight="1">
      <c r="A55" s="32" t="s">
        <v>118</v>
      </c>
      <c r="B55" s="13" t="s">
        <v>119</v>
      </c>
      <c r="C55" s="49">
        <f>'MISSION BEYOND'!C113</f>
        <v>17246523.128209531</v>
      </c>
      <c r="D55" s="49">
        <f>'MISSION BEYOND'!D113</f>
        <v>16885196.778206419</v>
      </c>
      <c r="E55" s="49">
        <f>'MISSION BEYOND'!E113</f>
        <v>5196559.666666666</v>
      </c>
      <c r="F55" s="49">
        <f>'MISSION BEYOND'!G113</f>
        <v>5050462.0747487349</v>
      </c>
      <c r="G55" s="49">
        <f>'MISSION BEYOND'!G113</f>
        <v>5050462.0747487349</v>
      </c>
      <c r="H55" s="50"/>
      <c r="I55" s="49">
        <f>'MISSION BEYOND'!I113</f>
        <v>91614</v>
      </c>
      <c r="J55" s="49">
        <f>'MISSION BEYOND'!J113</f>
        <v>5683318.6238934696</v>
      </c>
      <c r="K55" s="49">
        <f>'MISSION BEYOND'!K113</f>
        <v>5774932.6238934696</v>
      </c>
      <c r="L55" s="49">
        <f>'MISSION BEYOND'!L113</f>
        <v>16021954.36530887</v>
      </c>
      <c r="M55" s="46"/>
      <c r="N55" s="44">
        <f>'MISSION BEYOND'!N113</f>
        <v>91614</v>
      </c>
      <c r="O55" s="44">
        <f>'MISSION BEYOND'!O113</f>
        <v>6199833.0028398</v>
      </c>
      <c r="P55" s="44">
        <f>'MISSION BEYOND'!P113</f>
        <v>6291447.0028398</v>
      </c>
      <c r="Q55" s="44"/>
      <c r="R55" s="44">
        <f t="shared" si="11"/>
        <v>6291447.0028398</v>
      </c>
      <c r="S55" s="46"/>
      <c r="T55" s="108">
        <f>'MISSION BEYOND'!T113</f>
        <v>6266101.2829217138</v>
      </c>
      <c r="U55" s="108">
        <f>'MISSION BEYOND'!U113</f>
        <v>113500</v>
      </c>
      <c r="V55" s="108">
        <f>'MISSION BEYOND'!V113</f>
        <v>6340360.8321297169</v>
      </c>
      <c r="W55" s="108">
        <f>'MISSION BEYOND'!W113</f>
        <v>6450860.8321297169</v>
      </c>
      <c r="X55" s="108">
        <f>'MISSION BEYOND'!X113</f>
        <v>12716962.11505143</v>
      </c>
      <c r="Y55" s="38"/>
    </row>
    <row r="56" spans="1:25" ht="15" customHeight="1">
      <c r="A56" s="32" t="s">
        <v>120</v>
      </c>
      <c r="B56" s="13" t="s">
        <v>121</v>
      </c>
      <c r="C56" s="49">
        <f>Governance!C62</f>
        <v>13848606.371049905</v>
      </c>
      <c r="D56" s="49">
        <f>Governance!D62</f>
        <v>18775647.944265053</v>
      </c>
      <c r="E56" s="49">
        <f>Governance!E62</f>
        <v>4796671</v>
      </c>
      <c r="F56" s="49">
        <f>Governance!G62</f>
        <v>6140546.0793417413</v>
      </c>
      <c r="G56" s="49">
        <f>Governance!G62</f>
        <v>6140546.0793417413</v>
      </c>
      <c r="H56" s="50"/>
      <c r="I56" s="49">
        <f>Governance!I62</f>
        <v>2629933</v>
      </c>
      <c r="J56" s="49">
        <f>Governance!J62</f>
        <v>5246034.8268409492</v>
      </c>
      <c r="K56" s="49">
        <f>Governance!K62</f>
        <v>7875967.8268409492</v>
      </c>
      <c r="L56" s="49">
        <f>Governance!L62</f>
        <v>18813184.906182691</v>
      </c>
      <c r="M56" s="46"/>
      <c r="N56" s="44">
        <f>Governance!N62</f>
        <v>3178433</v>
      </c>
      <c r="O56" s="44">
        <f>Governance!O62</f>
        <v>6253290.6385645587</v>
      </c>
      <c r="P56" s="44">
        <f>Governance!P62</f>
        <v>9481723.6385645587</v>
      </c>
      <c r="Q56" s="44"/>
      <c r="R56" s="44">
        <f t="shared" si="11"/>
        <v>9481723.6385645587</v>
      </c>
      <c r="S56" s="46"/>
      <c r="T56" s="108">
        <f>Governance!T62</f>
        <v>7189190.4428815274</v>
      </c>
      <c r="U56" s="108">
        <f>Governance!U62</f>
        <v>2213000</v>
      </c>
      <c r="V56" s="108">
        <f>Governance!V62</f>
        <v>6986877.5993546806</v>
      </c>
      <c r="W56" s="108">
        <f>Governance!W62</f>
        <v>9199877.5993546806</v>
      </c>
      <c r="X56" s="108">
        <f>Governance!X62</f>
        <v>16389068.042236209</v>
      </c>
      <c r="Y56" s="38"/>
    </row>
    <row r="57" spans="1:25" ht="15" customHeight="1">
      <c r="A57" s="32" t="s">
        <v>122</v>
      </c>
      <c r="B57" s="13" t="s">
        <v>123</v>
      </c>
      <c r="C57" s="49">
        <f>'Fin Legal Oper'!C53+'Fin Legal Oper'!C23</f>
        <v>19238641.845409423</v>
      </c>
      <c r="D57" s="49">
        <f>'Fin Legal Oper'!D23+'Fin Legal Oper'!D53</f>
        <v>19320519.829341367</v>
      </c>
      <c r="E57" s="49">
        <f>'Fin Legal Oper'!E23+'Fin Legal Oper'!E53</f>
        <v>5795569</v>
      </c>
      <c r="F57" s="49">
        <f>'Fin Legal Oper'!G23+'Fin Legal Oper'!G53</f>
        <v>6416215.1962623494</v>
      </c>
      <c r="G57" s="49">
        <f>'Fin Legal Oper'!G23+'Fin Legal Oper'!G53</f>
        <v>6416215.1962623494</v>
      </c>
      <c r="H57" s="50"/>
      <c r="I57" s="49">
        <f>'Fin Legal Oper'!I23+'Fin Legal Oper'!I53</f>
        <v>40000</v>
      </c>
      <c r="J57" s="49">
        <f>'Fin Legal Oper'!J23+'Fin Legal Oper'!J53</f>
        <v>6752831.1774830353</v>
      </c>
      <c r="K57" s="49">
        <f>'Fin Legal Oper'!K23+'Fin Legal Oper'!K53</f>
        <v>6766831.1774830353</v>
      </c>
      <c r="L57" s="49">
        <f>'Fin Legal Oper'!L23+'Fin Legal Oper'!L53</f>
        <v>18978615.373745386</v>
      </c>
      <c r="M57" s="46"/>
      <c r="N57" s="44">
        <f>'Fin Legal Oper'!N23+'Fin Legal Oper'!N53</f>
        <v>42000</v>
      </c>
      <c r="O57" s="44">
        <f>'Fin Legal Oper'!O23+'Fin Legal Oper'!O53</f>
        <v>6694859.7982580075</v>
      </c>
      <c r="P57" s="44">
        <f>'Fin Legal Oper'!P23+'Fin Legal Oper'!P53</f>
        <v>6736859.7982580075</v>
      </c>
      <c r="Q57" s="44"/>
      <c r="R57" s="44">
        <f t="shared" si="11"/>
        <v>6736859.7982580075</v>
      </c>
      <c r="S57" s="46"/>
      <c r="T57" s="108">
        <f>'Fin Legal Oper'!T23+'Fin Legal Oper'!T53</f>
        <v>6817601.2326827031</v>
      </c>
      <c r="U57" s="108">
        <f>'Fin Legal Oper'!U23+'Fin Legal Oper'!U53</f>
        <v>115000</v>
      </c>
      <c r="V57" s="108">
        <f>'Fin Legal Oper'!V23+'Fin Legal Oper'!V53</f>
        <v>6911719.9042802081</v>
      </c>
      <c r="W57" s="108">
        <f>'Fin Legal Oper'!W23+'Fin Legal Oper'!W53</f>
        <v>6955719.9042802081</v>
      </c>
      <c r="X57" s="108">
        <f>'Fin Legal Oper'!X23+'Fin Legal Oper'!X53</f>
        <v>13773321.136962909</v>
      </c>
      <c r="Y57" s="38"/>
    </row>
    <row r="58" spans="1:25" ht="15" customHeight="1">
      <c r="A58" s="32" t="s">
        <v>124</v>
      </c>
      <c r="B58" s="13" t="s">
        <v>125</v>
      </c>
      <c r="C58" s="49">
        <f>'Fin Legal Oper'!C67</f>
        <v>3564976.6150079602</v>
      </c>
      <c r="D58" s="49">
        <f>'Fin Legal Oper'!D67</f>
        <v>3619789.374855428</v>
      </c>
      <c r="E58" s="49">
        <f>'Fin Legal Oper'!E67</f>
        <v>1470993</v>
      </c>
      <c r="F58" s="49">
        <f>'Fin Legal Oper'!G67</f>
        <v>1272070</v>
      </c>
      <c r="G58" s="49">
        <f>'Fin Legal Oper'!G67</f>
        <v>1272070</v>
      </c>
      <c r="H58" s="50"/>
      <c r="I58" s="49">
        <f>'Fin Legal Oper'!I67</f>
        <v>6000</v>
      </c>
      <c r="J58" s="49">
        <f>'Fin Legal Oper'!J67</f>
        <v>1395916.2667560168</v>
      </c>
      <c r="K58" s="49">
        <f>'Fin Legal Oper'!K67</f>
        <v>1395916.2667560168</v>
      </c>
      <c r="L58" s="49">
        <f>'Fin Legal Oper'!L67</f>
        <v>3711150.2667560168</v>
      </c>
      <c r="M58" s="46"/>
      <c r="N58" s="44">
        <f>'Fin Legal Oper'!N67</f>
        <v>6000</v>
      </c>
      <c r="O58" s="44">
        <f>'Fin Legal Oper'!O67</f>
        <v>1673521.1085392172</v>
      </c>
      <c r="P58" s="44">
        <f>'Fin Legal Oper'!P67</f>
        <v>1679521.1085392172</v>
      </c>
      <c r="Q58" s="44"/>
      <c r="R58" s="44">
        <f t="shared" si="11"/>
        <v>1679521.1085392172</v>
      </c>
      <c r="S58" s="46"/>
      <c r="T58" s="108">
        <f>'Fin Legal Oper'!T67</f>
        <v>1833395.8527872099</v>
      </c>
      <c r="U58" s="108">
        <f>'Fin Legal Oper'!U67</f>
        <v>6500</v>
      </c>
      <c r="V58" s="108">
        <f>'Fin Legal Oper'!V67</f>
        <v>1703903.9585620831</v>
      </c>
      <c r="W58" s="108">
        <f>'Fin Legal Oper'!W67</f>
        <v>1710403.9585620831</v>
      </c>
      <c r="X58" s="108">
        <f>'Fin Legal Oper'!X67</f>
        <v>3543799.8113492928</v>
      </c>
      <c r="Y58" s="38"/>
    </row>
    <row r="59" spans="1:25" ht="15" customHeight="1">
      <c r="A59" s="32" t="s">
        <v>126</v>
      </c>
      <c r="B59" s="13" t="s">
        <v>127</v>
      </c>
      <c r="C59" s="49">
        <f>'Fin Legal Oper'!C147</f>
        <v>16655120.786570068</v>
      </c>
      <c r="D59" s="49">
        <f>'Fin Legal Oper'!D147</f>
        <v>17411661.748919137</v>
      </c>
      <c r="E59" s="49">
        <f>'Fin Legal Oper'!E147</f>
        <v>5508429</v>
      </c>
      <c r="F59" s="49">
        <f>'Fin Legal Oper'!F147</f>
        <v>6885816.0342137441</v>
      </c>
      <c r="G59" s="49">
        <f>'Fin Legal Oper'!G147</f>
        <v>6634965.7040382316</v>
      </c>
      <c r="H59" s="50"/>
      <c r="I59" s="49">
        <f>'Fin Legal Oper'!I147</f>
        <v>82500</v>
      </c>
      <c r="J59" s="49">
        <f>'Fin Legal Oper'!J147</f>
        <v>6160497.1302001253</v>
      </c>
      <c r="K59" s="49">
        <f>'Fin Legal Oper'!K147</f>
        <v>6209997.1302001253</v>
      </c>
      <c r="L59" s="49">
        <f>'Fin Legal Oper'!L147</f>
        <v>18353391.834238358</v>
      </c>
      <c r="M59" s="46"/>
      <c r="N59" s="44">
        <f>'Fin Legal Oper'!N147</f>
        <v>76500</v>
      </c>
      <c r="O59" s="44">
        <f>'Fin Legal Oper'!O147</f>
        <v>6913065.6163166994</v>
      </c>
      <c r="P59" s="44">
        <f>'Fin Legal Oper'!P147</f>
        <v>6989565.6163166994</v>
      </c>
      <c r="Q59" s="44"/>
      <c r="R59" s="44">
        <f t="shared" si="11"/>
        <v>6989565.6163166994</v>
      </c>
      <c r="S59" s="46"/>
      <c r="T59" s="110">
        <f>'Fin Legal Oper'!T147</f>
        <v>6260148.558617888</v>
      </c>
      <c r="U59" s="110">
        <f>'Fin Legal Oper'!U147</f>
        <v>127500</v>
      </c>
      <c r="V59" s="110">
        <f>'Fin Legal Oper'!V147</f>
        <v>6390581.2756729219</v>
      </c>
      <c r="W59" s="110">
        <f>'Fin Legal Oper'!W147</f>
        <v>6518081.2756729219</v>
      </c>
      <c r="X59" s="110">
        <f>'Fin Legal Oper'!X147</f>
        <v>12778229.834290808</v>
      </c>
      <c r="Y59" s="38"/>
    </row>
    <row r="60" spans="1:25" ht="15" customHeight="1">
      <c r="A60" s="32" t="s">
        <v>128</v>
      </c>
      <c r="B60" s="13" t="s">
        <v>129</v>
      </c>
      <c r="C60" s="111">
        <f>-240000-120000-140000</f>
        <v>-500000</v>
      </c>
      <c r="D60" s="49">
        <v>-60500</v>
      </c>
      <c r="E60" s="49"/>
      <c r="F60" s="49"/>
      <c r="G60" s="49"/>
      <c r="H60" s="50"/>
      <c r="I60" s="49">
        <v>0</v>
      </c>
      <c r="J60" s="49">
        <v>0</v>
      </c>
      <c r="K60" s="49">
        <f>I60+J60</f>
        <v>0</v>
      </c>
      <c r="L60" s="49"/>
      <c r="M60" s="46"/>
      <c r="N60" s="44">
        <v>0</v>
      </c>
      <c r="O60" s="44">
        <v>0</v>
      </c>
      <c r="P60" s="44"/>
      <c r="Q60" s="36"/>
      <c r="R60" s="44"/>
      <c r="S60" s="46"/>
      <c r="T60" s="53"/>
      <c r="U60" s="53"/>
      <c r="V60" s="53"/>
      <c r="W60" s="53"/>
      <c r="X60" s="53"/>
      <c r="Y60" s="38"/>
    </row>
    <row r="61" spans="1:25" ht="33.4" customHeight="1">
      <c r="A61" s="32">
        <v>697</v>
      </c>
      <c r="B61" s="13" t="s">
        <v>131</v>
      </c>
      <c r="D61" s="49">
        <v>0</v>
      </c>
      <c r="E61" s="49"/>
      <c r="F61" s="49"/>
      <c r="G61" s="49"/>
      <c r="H61" s="50"/>
      <c r="I61" s="49"/>
      <c r="J61" s="49"/>
      <c r="K61" s="49">
        <f>I61+J61</f>
        <v>0</v>
      </c>
      <c r="L61" s="49">
        <v>0</v>
      </c>
      <c r="M61" s="46"/>
      <c r="N61" s="44">
        <v>0</v>
      </c>
      <c r="O61" s="44">
        <v>0</v>
      </c>
      <c r="P61" s="44"/>
      <c r="Q61" s="36"/>
      <c r="R61" s="44"/>
      <c r="S61" s="46"/>
      <c r="T61" s="53">
        <v>3000000</v>
      </c>
      <c r="U61" s="53"/>
      <c r="V61" s="53"/>
      <c r="W61" s="53">
        <f>V61</f>
        <v>0</v>
      </c>
      <c r="X61" s="53">
        <f>T61+W61</f>
        <v>3000000</v>
      </c>
      <c r="Y61" s="38"/>
    </row>
    <row r="62" spans="1:25" s="78" customFormat="1">
      <c r="A62" s="112">
        <v>700</v>
      </c>
      <c r="B62" s="113" t="s">
        <v>132</v>
      </c>
      <c r="C62" s="114">
        <f>SUM(C50:C61)</f>
        <v>123033194.0015071</v>
      </c>
      <c r="D62" s="114">
        <f t="shared" ref="D62:G62" si="12">SUM(D50:D60)</f>
        <v>133859583.57230252</v>
      </c>
      <c r="E62" s="114">
        <f t="shared" si="12"/>
        <v>51646978.916201308</v>
      </c>
      <c r="F62" s="114">
        <f t="shared" si="12"/>
        <v>44367144.436389305</v>
      </c>
      <c r="G62" s="114">
        <f t="shared" si="12"/>
        <v>43733126.106213793</v>
      </c>
      <c r="H62" s="115"/>
      <c r="I62" s="114">
        <f t="shared" ref="I62:P62" si="13">SUM(I50:I60)</f>
        <v>3820507</v>
      </c>
      <c r="J62" s="114">
        <f t="shared" si="13"/>
        <v>43118075.615063049</v>
      </c>
      <c r="K62" s="114">
        <f t="shared" si="13"/>
        <v>47134794.615063049</v>
      </c>
      <c r="L62" s="114">
        <f t="shared" si="13"/>
        <v>132861433.38794348</v>
      </c>
      <c r="M62" s="116"/>
      <c r="N62" s="117">
        <f t="shared" si="13"/>
        <v>4272007</v>
      </c>
      <c r="O62" s="117">
        <f t="shared" si="13"/>
        <v>47982738.890046507</v>
      </c>
      <c r="P62" s="117">
        <f t="shared" si="13"/>
        <v>52299745.890046507</v>
      </c>
      <c r="Q62" s="118"/>
      <c r="R62" s="117">
        <f>P62</f>
        <v>52299745.890046507</v>
      </c>
      <c r="S62" s="116"/>
      <c r="T62" s="119">
        <f>SUM(T50:T61)</f>
        <v>53134829.524284318</v>
      </c>
      <c r="U62" s="119">
        <f t="shared" ref="U62:X62" si="14">SUM(U50:U61)</f>
        <v>3438000</v>
      </c>
      <c r="V62" s="119">
        <f t="shared" si="14"/>
        <v>49251084.785696812</v>
      </c>
      <c r="W62" s="119">
        <f t="shared" si="14"/>
        <v>52615084.785696812</v>
      </c>
      <c r="X62" s="119">
        <f t="shared" si="14"/>
        <v>105705609.26325476</v>
      </c>
      <c r="Y62" s="120"/>
    </row>
    <row r="63" spans="1:25">
      <c r="D63" s="33"/>
      <c r="E63" s="33"/>
      <c r="F63" s="33"/>
      <c r="G63" s="33"/>
      <c r="H63" s="34"/>
      <c r="I63" s="33"/>
      <c r="J63" s="33"/>
      <c r="K63" s="33"/>
      <c r="L63" s="33"/>
      <c r="M63" s="17"/>
      <c r="N63" s="35"/>
      <c r="O63" s="35"/>
      <c r="P63" s="35"/>
      <c r="Q63" s="36"/>
      <c r="R63" s="37"/>
      <c r="S63" s="17"/>
      <c r="T63" s="38"/>
      <c r="U63" s="121"/>
      <c r="V63" s="121"/>
      <c r="W63" s="121"/>
      <c r="X63" s="121"/>
      <c r="Y63" s="122"/>
    </row>
    <row r="64" spans="1:25" s="78" customFormat="1" ht="14.65" thickBot="1">
      <c r="A64" s="70">
        <v>701</v>
      </c>
      <c r="B64" s="71" t="s">
        <v>133</v>
      </c>
      <c r="C64" s="72">
        <f>+C44-C62</f>
        <v>2049990.2763868868</v>
      </c>
      <c r="D64" s="72">
        <f t="shared" ref="D64:G64" si="15">D44-D62</f>
        <v>134.60620260238647</v>
      </c>
      <c r="E64" s="72">
        <f t="shared" si="15"/>
        <v>-7706805.9162013084</v>
      </c>
      <c r="F64" s="72">
        <f t="shared" si="15"/>
        <v>562072.11137787253</v>
      </c>
      <c r="G64" s="72">
        <f t="shared" si="15"/>
        <v>1217656.3015533835</v>
      </c>
      <c r="H64" s="123"/>
      <c r="I64" s="72">
        <f t="shared" ref="I64:P64" si="16">I44-I62</f>
        <v>-2467977</v>
      </c>
      <c r="J64" s="72">
        <f t="shared" si="16"/>
        <v>1395545.5296104401</v>
      </c>
      <c r="K64" s="72">
        <f t="shared" si="16"/>
        <v>-1238643.4703895599</v>
      </c>
      <c r="L64" s="72">
        <f t="shared" si="16"/>
        <v>2658590.8211891651</v>
      </c>
      <c r="M64" s="73">
        <f t="shared" si="16"/>
        <v>0</v>
      </c>
      <c r="N64" s="74">
        <f t="shared" si="16"/>
        <v>-2919477</v>
      </c>
      <c r="O64" s="74">
        <f t="shared" si="16"/>
        <v>3039552.1705373004</v>
      </c>
      <c r="P64" s="74">
        <f t="shared" si="16"/>
        <v>75075.170537300408</v>
      </c>
      <c r="Q64" s="75"/>
      <c r="R64" s="74">
        <f>P64</f>
        <v>75075.170537300408</v>
      </c>
      <c r="S64" s="73"/>
      <c r="T64" s="77">
        <f t="shared" ref="T64:X64" si="17">T44-T62</f>
        <v>-5565321.8788612485</v>
      </c>
      <c r="U64" s="124">
        <f t="shared" si="17"/>
        <v>-1938000</v>
      </c>
      <c r="V64" s="124">
        <f t="shared" si="17"/>
        <v>-713546.63816196471</v>
      </c>
      <c r="W64" s="124">
        <f t="shared" si="17"/>
        <v>-2577546.6381619647</v>
      </c>
      <c r="X64" s="124">
        <f t="shared" si="17"/>
        <v>-8098563.4702968299</v>
      </c>
      <c r="Y64" s="77"/>
    </row>
    <row r="65" spans="1:27">
      <c r="B65" s="125"/>
      <c r="C65" s="49"/>
      <c r="D65" s="126"/>
      <c r="E65" s="33"/>
      <c r="F65" s="33"/>
      <c r="G65" s="33"/>
      <c r="H65" s="34"/>
      <c r="I65" s="33"/>
      <c r="J65" s="33"/>
      <c r="K65" s="33"/>
      <c r="L65" s="33"/>
      <c r="M65" s="17"/>
      <c r="N65" s="35"/>
      <c r="O65" s="35"/>
      <c r="P65" s="35"/>
      <c r="Q65" s="36"/>
      <c r="R65" s="37"/>
      <c r="S65" s="17"/>
    </row>
    <row r="66" spans="1:27">
      <c r="C66" s="49"/>
      <c r="D66" s="126"/>
      <c r="E66" s="33"/>
      <c r="F66" s="33"/>
      <c r="G66" s="33"/>
      <c r="H66" s="34"/>
      <c r="I66" s="33"/>
      <c r="J66" s="33"/>
      <c r="K66" s="33"/>
      <c r="L66" s="33"/>
      <c r="M66" s="17"/>
      <c r="N66" s="35"/>
      <c r="O66" s="35"/>
      <c r="P66" s="35"/>
      <c r="Q66" s="36"/>
      <c r="R66" s="37"/>
      <c r="S66" s="17"/>
    </row>
    <row r="67" spans="1:27">
      <c r="B67" s="127"/>
      <c r="C67" s="49"/>
      <c r="D67" s="128"/>
      <c r="E67" s="128"/>
      <c r="F67" s="128"/>
      <c r="G67" s="128"/>
      <c r="H67" s="129"/>
      <c r="I67" s="128"/>
      <c r="J67" s="128"/>
      <c r="K67" s="128"/>
      <c r="L67" s="128"/>
      <c r="N67" s="128"/>
      <c r="O67" s="128"/>
      <c r="P67" s="128"/>
      <c r="Q67" s="129"/>
      <c r="R67" s="131"/>
    </row>
    <row r="68" spans="1:27">
      <c r="B68" s="127"/>
      <c r="C68" s="49"/>
      <c r="D68" s="132"/>
      <c r="E68" s="128"/>
      <c r="F68" s="128"/>
      <c r="G68" s="128"/>
      <c r="H68" s="129"/>
      <c r="I68" s="128"/>
      <c r="J68" s="128"/>
      <c r="K68" s="128"/>
      <c r="L68" s="128"/>
      <c r="N68" s="128"/>
      <c r="O68" s="128"/>
      <c r="P68" s="128"/>
      <c r="Q68" s="129"/>
      <c r="R68" s="131"/>
    </row>
    <row r="69" spans="1:27" s="130" customFormat="1">
      <c r="A69" s="32"/>
      <c r="B69" s="127"/>
      <c r="C69" s="14"/>
      <c r="D69" s="128"/>
      <c r="E69" s="128"/>
      <c r="F69" s="128"/>
      <c r="G69" s="128"/>
      <c r="H69" s="129"/>
      <c r="I69" s="128"/>
      <c r="J69" s="128"/>
      <c r="K69" s="128"/>
      <c r="L69" s="128"/>
      <c r="N69" s="128"/>
      <c r="O69" s="128"/>
      <c r="P69" s="128"/>
      <c r="Q69" s="129"/>
      <c r="R69" s="131"/>
      <c r="T69" s="14"/>
      <c r="U69" s="14"/>
      <c r="V69" s="14"/>
      <c r="W69" s="14"/>
      <c r="X69" s="14"/>
      <c r="Y69" s="14"/>
      <c r="Z69" s="14"/>
      <c r="AA69" s="14"/>
    </row>
    <row r="70" spans="1:27" s="130" customFormat="1">
      <c r="A70" s="32"/>
      <c r="B70" s="127"/>
      <c r="C70" s="14"/>
      <c r="D70" s="128"/>
      <c r="E70" s="128"/>
      <c r="F70" s="128"/>
      <c r="G70" s="128"/>
      <c r="H70" s="129"/>
      <c r="I70" s="128"/>
      <c r="J70" s="128"/>
      <c r="K70" s="128"/>
      <c r="L70" s="128"/>
      <c r="N70" s="128"/>
      <c r="O70" s="128"/>
      <c r="P70" s="128"/>
      <c r="Q70" s="129"/>
      <c r="R70" s="131"/>
      <c r="T70" s="14"/>
      <c r="U70" s="14"/>
      <c r="V70" s="14"/>
      <c r="W70" s="14"/>
      <c r="X70" s="14"/>
      <c r="Y70" s="14"/>
      <c r="Z70" s="14"/>
      <c r="AA70" s="14"/>
    </row>
    <row r="71" spans="1:27" s="130" customFormat="1">
      <c r="A71" s="32"/>
      <c r="B71" s="13"/>
      <c r="C71" s="14"/>
      <c r="D71" s="128"/>
      <c r="E71" s="128"/>
      <c r="F71" s="128"/>
      <c r="G71" s="128"/>
      <c r="H71" s="129"/>
      <c r="I71" s="128"/>
      <c r="J71" s="128"/>
      <c r="K71" s="128"/>
      <c r="L71" s="128"/>
      <c r="N71" s="128"/>
      <c r="O71" s="128"/>
      <c r="P71" s="128"/>
      <c r="Q71" s="129"/>
      <c r="R71" s="131"/>
      <c r="T71" s="14"/>
      <c r="U71" s="14"/>
      <c r="V71" s="14"/>
      <c r="W71" s="14"/>
      <c r="X71" s="14"/>
      <c r="Y71" s="14"/>
      <c r="Z71" s="14"/>
      <c r="AA71" s="14"/>
    </row>
    <row r="72" spans="1:27" s="130" customFormat="1">
      <c r="A72" s="32"/>
      <c r="B72" s="13"/>
      <c r="C72" s="14"/>
      <c r="D72" s="128"/>
      <c r="E72" s="128"/>
      <c r="F72" s="128"/>
      <c r="G72" s="128"/>
      <c r="H72" s="129"/>
      <c r="I72" s="128"/>
      <c r="J72" s="128"/>
      <c r="K72" s="128"/>
      <c r="L72" s="128"/>
      <c r="N72" s="128"/>
      <c r="O72" s="128"/>
      <c r="P72" s="128"/>
      <c r="Q72" s="129"/>
      <c r="R72" s="131"/>
      <c r="T72" s="14"/>
      <c r="U72" s="14"/>
      <c r="V72" s="14"/>
      <c r="W72" s="14"/>
      <c r="X72" s="14"/>
      <c r="Y72" s="14"/>
      <c r="Z72" s="14"/>
      <c r="AA72" s="14"/>
    </row>
    <row r="73" spans="1:27" s="130" customFormat="1">
      <c r="A73" s="32"/>
      <c r="B73" s="13"/>
      <c r="C73" s="14"/>
      <c r="D73" s="128"/>
      <c r="E73" s="128"/>
      <c r="F73" s="128"/>
      <c r="G73" s="128"/>
      <c r="H73" s="129"/>
      <c r="I73" s="128"/>
      <c r="J73" s="128"/>
      <c r="K73" s="128"/>
      <c r="L73" s="128"/>
      <c r="N73" s="128"/>
      <c r="O73" s="128"/>
      <c r="P73" s="128"/>
      <c r="Q73" s="129"/>
      <c r="R73" s="131"/>
      <c r="T73" s="14"/>
      <c r="U73" s="14"/>
      <c r="V73" s="14"/>
      <c r="W73" s="14"/>
      <c r="X73" s="14"/>
      <c r="Y73" s="14"/>
      <c r="Z73" s="14"/>
      <c r="AA73" s="14"/>
    </row>
    <row r="74" spans="1:27" s="130" customFormat="1">
      <c r="A74" s="32"/>
      <c r="B74" s="13"/>
      <c r="C74" s="14"/>
      <c r="D74" s="128"/>
      <c r="E74" s="128"/>
      <c r="F74" s="128"/>
      <c r="G74" s="128"/>
      <c r="H74" s="129"/>
      <c r="I74" s="128"/>
      <c r="J74" s="128"/>
      <c r="K74" s="128"/>
      <c r="L74" s="128"/>
      <c r="N74" s="128"/>
      <c r="O74" s="128"/>
      <c r="P74" s="128"/>
      <c r="Q74" s="129"/>
      <c r="R74" s="131"/>
      <c r="T74" s="14"/>
      <c r="U74" s="14"/>
      <c r="V74" s="14"/>
      <c r="W74" s="14"/>
      <c r="X74" s="14"/>
      <c r="Y74" s="14"/>
      <c r="Z74" s="14"/>
      <c r="AA74" s="14"/>
    </row>
    <row r="75" spans="1:27" s="130" customFormat="1">
      <c r="A75" s="32"/>
      <c r="B75" s="13"/>
      <c r="C75" s="14"/>
      <c r="D75" s="128"/>
      <c r="E75" s="128"/>
      <c r="F75" s="128"/>
      <c r="G75" s="128"/>
      <c r="H75" s="129"/>
      <c r="I75" s="128"/>
      <c r="J75" s="128"/>
      <c r="K75" s="128"/>
      <c r="L75" s="128"/>
      <c r="N75" s="128"/>
      <c r="O75" s="128"/>
      <c r="P75" s="128"/>
      <c r="Q75" s="129"/>
      <c r="R75" s="131"/>
      <c r="T75" s="14"/>
      <c r="U75" s="14"/>
      <c r="V75" s="14"/>
      <c r="W75" s="14"/>
      <c r="X75" s="14"/>
      <c r="Y75" s="14"/>
      <c r="Z75" s="14"/>
      <c r="AA75" s="14"/>
    </row>
    <row r="76" spans="1:27" s="130" customFormat="1">
      <c r="A76" s="32"/>
      <c r="B76" s="13"/>
      <c r="C76" s="14"/>
      <c r="D76" s="128"/>
      <c r="E76" s="128"/>
      <c r="F76" s="128"/>
      <c r="G76" s="128"/>
      <c r="H76" s="129"/>
      <c r="I76" s="128"/>
      <c r="J76" s="128"/>
      <c r="K76" s="128"/>
      <c r="L76" s="128"/>
      <c r="N76" s="128"/>
      <c r="O76" s="128"/>
      <c r="P76" s="128"/>
      <c r="Q76" s="129"/>
      <c r="R76" s="131"/>
      <c r="T76" s="14"/>
      <c r="U76" s="14"/>
      <c r="V76" s="14"/>
      <c r="W76" s="14"/>
      <c r="X76" s="14"/>
      <c r="Y76" s="14"/>
      <c r="Z76" s="14"/>
      <c r="AA76" s="14"/>
    </row>
    <row r="77" spans="1:27" s="130" customFormat="1">
      <c r="A77" s="32"/>
      <c r="B77" s="13"/>
      <c r="C77" s="14"/>
      <c r="D77" s="128"/>
      <c r="E77" s="128"/>
      <c r="F77" s="128"/>
      <c r="G77" s="128"/>
      <c r="H77" s="129"/>
      <c r="I77" s="128"/>
      <c r="J77" s="128"/>
      <c r="K77" s="128"/>
      <c r="L77" s="128"/>
      <c r="N77" s="128"/>
      <c r="O77" s="128"/>
      <c r="P77" s="128"/>
      <c r="Q77" s="129"/>
      <c r="R77" s="131"/>
      <c r="T77" s="14"/>
      <c r="U77" s="14"/>
      <c r="V77" s="14"/>
      <c r="W77" s="14"/>
      <c r="X77" s="14"/>
      <c r="Y77" s="14"/>
      <c r="Z77" s="14"/>
      <c r="AA77" s="14"/>
    </row>
    <row r="78" spans="1:27" s="130" customFormat="1">
      <c r="A78" s="32"/>
      <c r="B78" s="13"/>
      <c r="C78" s="14"/>
      <c r="D78" s="128"/>
      <c r="E78" s="128"/>
      <c r="F78" s="128"/>
      <c r="G78" s="128"/>
      <c r="H78" s="129"/>
      <c r="I78" s="128"/>
      <c r="J78" s="128"/>
      <c r="K78" s="128"/>
      <c r="L78" s="128"/>
      <c r="N78" s="128"/>
      <c r="O78" s="128"/>
      <c r="P78" s="128"/>
      <c r="Q78" s="129"/>
      <c r="R78" s="131"/>
      <c r="T78" s="14"/>
      <c r="U78" s="14"/>
      <c r="V78" s="14"/>
      <c r="W78" s="14"/>
      <c r="X78" s="14"/>
      <c r="Y78" s="14"/>
      <c r="Z78" s="14"/>
      <c r="AA78" s="14"/>
    </row>
    <row r="79" spans="1:27" s="130" customFormat="1">
      <c r="A79" s="32"/>
      <c r="B79" s="13"/>
      <c r="C79" s="14"/>
      <c r="D79" s="128"/>
      <c r="E79" s="128"/>
      <c r="F79" s="128"/>
      <c r="G79" s="128"/>
      <c r="H79" s="129"/>
      <c r="I79" s="128"/>
      <c r="J79" s="128"/>
      <c r="K79" s="128"/>
      <c r="L79" s="128"/>
      <c r="N79" s="128"/>
      <c r="O79" s="128"/>
      <c r="P79" s="128"/>
      <c r="Q79" s="129"/>
      <c r="R79" s="131"/>
      <c r="T79" s="14"/>
      <c r="U79" s="14"/>
      <c r="V79" s="14"/>
      <c r="W79" s="14"/>
      <c r="X79" s="14"/>
      <c r="Y79" s="14"/>
      <c r="Z79" s="14"/>
      <c r="AA79" s="14"/>
    </row>
    <row r="80" spans="1:27" s="130" customFormat="1">
      <c r="A80" s="32"/>
      <c r="B80" s="13"/>
      <c r="C80" s="14"/>
      <c r="D80" s="128"/>
      <c r="E80" s="128"/>
      <c r="F80" s="128"/>
      <c r="G80" s="128"/>
      <c r="H80" s="129"/>
      <c r="I80" s="128"/>
      <c r="J80" s="128"/>
      <c r="K80" s="128"/>
      <c r="L80" s="128"/>
      <c r="N80" s="128"/>
      <c r="O80" s="128"/>
      <c r="P80" s="128"/>
      <c r="Q80" s="129"/>
      <c r="R80" s="131"/>
      <c r="T80" s="14"/>
      <c r="U80" s="14"/>
      <c r="V80" s="14"/>
      <c r="W80" s="14"/>
      <c r="X80" s="14"/>
      <c r="Y80" s="14"/>
      <c r="Z80" s="14"/>
      <c r="AA80" s="14"/>
    </row>
    <row r="81" spans="1:27" s="130" customFormat="1">
      <c r="A81" s="32"/>
      <c r="B81" s="13"/>
      <c r="C81" s="14"/>
      <c r="D81" s="60"/>
      <c r="E81" s="60"/>
      <c r="F81" s="60"/>
      <c r="G81" s="60"/>
      <c r="H81" s="133"/>
      <c r="I81" s="128"/>
      <c r="J81" s="128"/>
      <c r="K81" s="60"/>
      <c r="L81" s="60"/>
      <c r="N81" s="60"/>
      <c r="O81" s="60"/>
      <c r="P81" s="60"/>
      <c r="Q81" s="133"/>
      <c r="R81" s="134"/>
      <c r="T81" s="14"/>
      <c r="U81" s="14"/>
      <c r="V81" s="14"/>
      <c r="W81" s="14"/>
      <c r="X81" s="14"/>
      <c r="Y81" s="14"/>
      <c r="Z81" s="14"/>
      <c r="AA81" s="14"/>
    </row>
    <row r="82" spans="1:27" s="130" customFormat="1">
      <c r="A82" s="32"/>
      <c r="B82" s="13"/>
      <c r="C82" s="14"/>
      <c r="D82" s="60"/>
      <c r="E82" s="60"/>
      <c r="F82" s="60"/>
      <c r="G82" s="60"/>
      <c r="H82" s="133"/>
      <c r="I82" s="128"/>
      <c r="J82" s="128"/>
      <c r="K82" s="60"/>
      <c r="L82" s="60"/>
      <c r="N82" s="60"/>
      <c r="O82" s="60"/>
      <c r="P82" s="60"/>
      <c r="Q82" s="133"/>
      <c r="R82" s="134"/>
      <c r="T82" s="14"/>
      <c r="U82" s="14"/>
      <c r="V82" s="14"/>
      <c r="W82" s="14"/>
      <c r="X82" s="14"/>
      <c r="Y82" s="14"/>
      <c r="Z82" s="14"/>
      <c r="AA82" s="14"/>
    </row>
    <row r="83" spans="1:27" s="130" customFormat="1">
      <c r="A83" s="32"/>
      <c r="B83" s="13"/>
      <c r="C83" s="14"/>
      <c r="D83" s="60"/>
      <c r="E83" s="60"/>
      <c r="F83" s="60"/>
      <c r="G83" s="60"/>
      <c r="H83" s="133"/>
      <c r="I83" s="128"/>
      <c r="J83" s="128"/>
      <c r="K83" s="60"/>
      <c r="L83" s="60"/>
      <c r="N83" s="60"/>
      <c r="O83" s="60"/>
      <c r="P83" s="60"/>
      <c r="Q83" s="133"/>
      <c r="R83" s="134"/>
      <c r="T83" s="14"/>
      <c r="U83" s="14"/>
      <c r="V83" s="14"/>
      <c r="W83" s="14"/>
      <c r="X83" s="14"/>
      <c r="Y83" s="14"/>
      <c r="Z83" s="14"/>
      <c r="AA83" s="14"/>
    </row>
    <row r="84" spans="1:27" s="130" customFormat="1">
      <c r="A84" s="32"/>
      <c r="B84" s="13"/>
      <c r="C84" s="14"/>
      <c r="D84" s="60"/>
      <c r="E84" s="60"/>
      <c r="F84" s="60"/>
      <c r="G84" s="60"/>
      <c r="H84" s="133"/>
      <c r="I84" s="128"/>
      <c r="J84" s="128"/>
      <c r="K84" s="60"/>
      <c r="L84" s="60"/>
      <c r="N84" s="60"/>
      <c r="O84" s="60"/>
      <c r="P84" s="60"/>
      <c r="Q84" s="133"/>
      <c r="R84" s="134"/>
      <c r="T84" s="14"/>
      <c r="U84" s="14"/>
      <c r="V84" s="14"/>
      <c r="W84" s="14"/>
      <c r="X84" s="14"/>
      <c r="Y84" s="14"/>
      <c r="Z84" s="14"/>
      <c r="AA84" s="14"/>
    </row>
    <row r="85" spans="1:27" s="60" customFormat="1">
      <c r="A85" s="32"/>
      <c r="B85" s="13"/>
      <c r="C85" s="14"/>
      <c r="H85" s="133"/>
      <c r="I85" s="128"/>
      <c r="J85" s="128"/>
      <c r="M85" s="130"/>
      <c r="Q85" s="133"/>
      <c r="R85" s="134"/>
      <c r="S85" s="130"/>
      <c r="T85" s="14"/>
      <c r="U85" s="14"/>
      <c r="V85" s="14"/>
      <c r="W85" s="14"/>
      <c r="X85" s="14"/>
      <c r="Y85" s="14"/>
      <c r="Z85" s="14"/>
      <c r="AA85" s="14"/>
    </row>
    <row r="86" spans="1:27" s="60" customFormat="1">
      <c r="A86" s="32"/>
      <c r="B86" s="13"/>
      <c r="C86" s="14"/>
      <c r="H86" s="133"/>
      <c r="I86" s="128"/>
      <c r="J86" s="128"/>
      <c r="M86" s="130"/>
      <c r="Q86" s="133"/>
      <c r="R86" s="134"/>
      <c r="S86" s="130"/>
      <c r="T86" s="14"/>
      <c r="U86" s="14"/>
      <c r="V86" s="14"/>
      <c r="W86" s="14"/>
      <c r="X86" s="14"/>
      <c r="Y86" s="14"/>
      <c r="Z86" s="14"/>
      <c r="AA86" s="14"/>
    </row>
    <row r="87" spans="1:27" s="60" customFormat="1">
      <c r="A87" s="32"/>
      <c r="B87" s="13"/>
      <c r="C87" s="14"/>
      <c r="H87" s="133"/>
      <c r="I87" s="128"/>
      <c r="J87" s="128"/>
      <c r="M87" s="130"/>
      <c r="Q87" s="133"/>
      <c r="R87" s="134"/>
      <c r="S87" s="130"/>
      <c r="T87" s="14"/>
      <c r="U87" s="14"/>
      <c r="V87" s="14"/>
      <c r="W87" s="14"/>
      <c r="X87" s="14"/>
      <c r="Y87" s="14"/>
      <c r="Z87" s="14"/>
      <c r="AA87" s="14"/>
    </row>
    <row r="88" spans="1:27" s="60" customFormat="1">
      <c r="A88" s="32"/>
      <c r="B88" s="13"/>
      <c r="C88" s="14"/>
      <c r="H88" s="133"/>
      <c r="I88" s="128"/>
      <c r="J88" s="128"/>
      <c r="M88" s="130"/>
      <c r="Q88" s="133"/>
      <c r="R88" s="134"/>
      <c r="S88" s="130"/>
      <c r="T88" s="14"/>
      <c r="U88" s="14"/>
      <c r="V88" s="14"/>
      <c r="W88" s="14"/>
      <c r="X88" s="14"/>
      <c r="Y88" s="14"/>
      <c r="Z88" s="14"/>
      <c r="AA88" s="14"/>
    </row>
    <row r="89" spans="1:27" s="60" customFormat="1">
      <c r="A89" s="32"/>
      <c r="B89" s="13"/>
      <c r="C89" s="14"/>
      <c r="H89" s="133"/>
      <c r="I89" s="128"/>
      <c r="J89" s="128"/>
      <c r="M89" s="130"/>
      <c r="Q89" s="133"/>
      <c r="R89" s="134"/>
      <c r="S89" s="130"/>
      <c r="T89" s="14"/>
      <c r="U89" s="14"/>
      <c r="V89" s="14"/>
      <c r="W89" s="14"/>
      <c r="X89" s="14"/>
      <c r="Y89" s="14"/>
      <c r="Z89" s="14"/>
      <c r="AA89" s="14"/>
    </row>
    <row r="90" spans="1:27" s="60" customFormat="1">
      <c r="A90" s="32"/>
      <c r="B90" s="13"/>
      <c r="C90" s="14"/>
      <c r="H90" s="133"/>
      <c r="I90" s="128"/>
      <c r="J90" s="128"/>
      <c r="M90" s="130"/>
      <c r="Q90" s="133"/>
      <c r="R90" s="134"/>
      <c r="S90" s="130"/>
      <c r="T90" s="14"/>
      <c r="U90" s="14"/>
      <c r="V90" s="14"/>
      <c r="W90" s="14"/>
      <c r="X90" s="14"/>
      <c r="Y90" s="14"/>
      <c r="Z90" s="14"/>
      <c r="AA90" s="14"/>
    </row>
    <row r="91" spans="1:27" s="60" customFormat="1">
      <c r="A91" s="32"/>
      <c r="B91" s="13"/>
      <c r="C91" s="14"/>
      <c r="H91" s="133"/>
      <c r="I91" s="128"/>
      <c r="J91" s="128"/>
      <c r="M91" s="130"/>
      <c r="Q91" s="133"/>
      <c r="R91" s="134"/>
      <c r="S91" s="130"/>
      <c r="T91" s="14"/>
      <c r="U91" s="14"/>
      <c r="V91" s="14"/>
      <c r="W91" s="14"/>
      <c r="X91" s="14"/>
      <c r="Y91" s="14"/>
      <c r="Z91" s="14"/>
      <c r="AA91" s="14"/>
    </row>
    <row r="92" spans="1:27" s="60" customFormat="1">
      <c r="A92" s="32"/>
      <c r="B92" s="13"/>
      <c r="C92" s="14"/>
      <c r="H92" s="133"/>
      <c r="I92" s="128"/>
      <c r="J92" s="128"/>
      <c r="M92" s="130"/>
      <c r="Q92" s="133"/>
      <c r="R92" s="134"/>
      <c r="S92" s="130"/>
      <c r="T92" s="14"/>
      <c r="U92" s="14"/>
      <c r="V92" s="14"/>
      <c r="W92" s="14"/>
      <c r="X92" s="14"/>
      <c r="Y92" s="14"/>
      <c r="Z92" s="14"/>
      <c r="AA92" s="14"/>
    </row>
    <row r="93" spans="1:27" s="60" customFormat="1">
      <c r="A93" s="32"/>
      <c r="B93" s="13"/>
      <c r="C93" s="14"/>
      <c r="H93" s="133"/>
      <c r="I93" s="128"/>
      <c r="J93" s="128"/>
      <c r="M93" s="130"/>
      <c r="Q93" s="133"/>
      <c r="R93" s="134"/>
      <c r="S93" s="130"/>
      <c r="T93" s="14"/>
      <c r="U93" s="14"/>
      <c r="V93" s="14"/>
      <c r="W93" s="14"/>
      <c r="X93" s="14"/>
      <c r="Y93" s="14"/>
      <c r="Z93" s="14"/>
      <c r="AA93" s="14"/>
    </row>
    <row r="94" spans="1:27" s="60" customFormat="1">
      <c r="A94" s="32"/>
      <c r="B94" s="13"/>
      <c r="C94" s="14"/>
      <c r="H94" s="133"/>
      <c r="I94" s="128"/>
      <c r="J94" s="128"/>
      <c r="M94" s="130"/>
      <c r="Q94" s="133"/>
      <c r="R94" s="134"/>
      <c r="S94" s="130"/>
      <c r="T94" s="14"/>
      <c r="U94" s="14"/>
      <c r="V94" s="14"/>
      <c r="W94" s="14"/>
      <c r="X94" s="14"/>
      <c r="Y94" s="14"/>
      <c r="Z94" s="14"/>
      <c r="AA94" s="14"/>
    </row>
    <row r="95" spans="1:27" s="60" customFormat="1">
      <c r="A95" s="32"/>
      <c r="B95" s="13"/>
      <c r="C95" s="14"/>
      <c r="H95" s="133"/>
      <c r="I95" s="128"/>
      <c r="J95" s="128"/>
      <c r="M95" s="130"/>
      <c r="Q95" s="133"/>
      <c r="R95" s="134"/>
      <c r="S95" s="130"/>
      <c r="T95" s="14"/>
      <c r="U95" s="14"/>
      <c r="V95" s="14"/>
      <c r="W95" s="14"/>
      <c r="X95" s="14"/>
      <c r="Y95" s="14"/>
      <c r="Z95" s="14"/>
      <c r="AA95" s="14"/>
    </row>
    <row r="96" spans="1:27" s="60" customFormat="1">
      <c r="A96" s="32"/>
      <c r="B96" s="13"/>
      <c r="C96" s="14"/>
      <c r="H96" s="133"/>
      <c r="I96" s="128"/>
      <c r="J96" s="128"/>
      <c r="M96" s="130"/>
      <c r="Q96" s="133"/>
      <c r="R96" s="134"/>
      <c r="S96" s="130"/>
      <c r="T96" s="14"/>
      <c r="U96" s="14"/>
      <c r="V96" s="14"/>
      <c r="W96" s="14"/>
      <c r="X96" s="14"/>
      <c r="Y96" s="14"/>
      <c r="Z96" s="14"/>
      <c r="AA96" s="14"/>
    </row>
    <row r="97" spans="1:27" s="60" customFormat="1">
      <c r="A97" s="32"/>
      <c r="B97" s="13"/>
      <c r="C97" s="14"/>
      <c r="H97" s="133"/>
      <c r="I97" s="128"/>
      <c r="J97" s="128"/>
      <c r="M97" s="130"/>
      <c r="Q97" s="133"/>
      <c r="R97" s="134"/>
      <c r="S97" s="130"/>
      <c r="T97" s="14"/>
      <c r="U97" s="14"/>
      <c r="V97" s="14"/>
      <c r="W97" s="14"/>
      <c r="X97" s="14"/>
      <c r="Y97" s="14"/>
      <c r="Z97" s="14"/>
      <c r="AA97" s="14"/>
    </row>
    <row r="98" spans="1:27" s="60" customFormat="1">
      <c r="A98" s="32"/>
      <c r="B98" s="13"/>
      <c r="C98" s="14"/>
      <c r="H98" s="133"/>
      <c r="I98" s="128"/>
      <c r="J98" s="128"/>
      <c r="M98" s="130"/>
      <c r="Q98" s="133"/>
      <c r="R98" s="134"/>
      <c r="S98" s="130"/>
      <c r="T98" s="14"/>
      <c r="U98" s="14"/>
      <c r="V98" s="14"/>
      <c r="W98" s="14"/>
      <c r="X98" s="14"/>
      <c r="Y98" s="14"/>
      <c r="Z98" s="14"/>
      <c r="AA98" s="14"/>
    </row>
    <row r="99" spans="1:27" s="60" customFormat="1">
      <c r="A99" s="32"/>
      <c r="B99" s="13"/>
      <c r="C99" s="14"/>
      <c r="H99" s="133"/>
      <c r="I99" s="128"/>
      <c r="J99" s="128"/>
      <c r="M99" s="130"/>
      <c r="Q99" s="133"/>
      <c r="R99" s="134"/>
      <c r="S99" s="130"/>
      <c r="T99" s="14"/>
      <c r="U99" s="14"/>
      <c r="V99" s="14"/>
      <c r="W99" s="14"/>
      <c r="X99" s="14"/>
      <c r="Y99" s="14"/>
      <c r="Z99" s="14"/>
      <c r="AA99" s="14"/>
    </row>
    <row r="100" spans="1:27" s="60" customFormat="1">
      <c r="A100" s="32"/>
      <c r="B100" s="13"/>
      <c r="C100" s="14"/>
      <c r="H100" s="133"/>
      <c r="I100" s="128"/>
      <c r="J100" s="128"/>
      <c r="M100" s="130"/>
      <c r="Q100" s="133"/>
      <c r="R100" s="134"/>
      <c r="S100" s="130"/>
      <c r="T100" s="14"/>
      <c r="U100" s="14"/>
      <c r="V100" s="14"/>
      <c r="W100" s="14"/>
      <c r="X100" s="14"/>
      <c r="Y100" s="14"/>
      <c r="Z100" s="14"/>
      <c r="AA100" s="14"/>
    </row>
    <row r="101" spans="1:27" s="60" customFormat="1">
      <c r="A101" s="32"/>
      <c r="B101" s="13"/>
      <c r="C101" s="14"/>
      <c r="H101" s="133"/>
      <c r="I101" s="128"/>
      <c r="J101" s="128"/>
      <c r="M101" s="130"/>
      <c r="Q101" s="133"/>
      <c r="R101" s="134"/>
      <c r="S101" s="130"/>
      <c r="T101" s="14"/>
      <c r="U101" s="14"/>
      <c r="V101" s="14"/>
      <c r="W101" s="14"/>
      <c r="X101" s="14"/>
      <c r="Y101" s="14"/>
      <c r="Z101" s="14"/>
      <c r="AA101" s="14"/>
    </row>
    <row r="102" spans="1:27" s="60" customFormat="1">
      <c r="A102" s="32"/>
      <c r="B102" s="13"/>
      <c r="C102" s="14"/>
      <c r="H102" s="133"/>
      <c r="I102" s="128"/>
      <c r="J102" s="128"/>
      <c r="M102" s="130"/>
      <c r="Q102" s="133"/>
      <c r="R102" s="134"/>
      <c r="S102" s="130"/>
      <c r="T102" s="14"/>
      <c r="U102" s="14"/>
      <c r="V102" s="14"/>
      <c r="W102" s="14"/>
      <c r="X102" s="14"/>
      <c r="Y102" s="14"/>
      <c r="Z102" s="14"/>
      <c r="AA102" s="14"/>
    </row>
    <row r="103" spans="1:27" s="60" customFormat="1">
      <c r="A103" s="32"/>
      <c r="B103" s="13"/>
      <c r="C103" s="14"/>
      <c r="H103" s="133"/>
      <c r="I103" s="128"/>
      <c r="J103" s="128"/>
      <c r="M103" s="130"/>
      <c r="Q103" s="133"/>
      <c r="R103" s="134"/>
      <c r="S103" s="130"/>
      <c r="T103" s="14"/>
      <c r="U103" s="14"/>
      <c r="V103" s="14"/>
      <c r="W103" s="14"/>
      <c r="X103" s="14"/>
      <c r="Y103" s="14"/>
      <c r="Z103" s="14"/>
      <c r="AA103" s="14"/>
    </row>
    <row r="104" spans="1:27" s="60" customFormat="1">
      <c r="A104" s="32"/>
      <c r="B104" s="13"/>
      <c r="C104" s="14"/>
      <c r="H104" s="133"/>
      <c r="I104" s="128"/>
      <c r="J104" s="128"/>
      <c r="M104" s="130"/>
      <c r="Q104" s="133"/>
      <c r="R104" s="134"/>
      <c r="S104" s="130"/>
      <c r="T104" s="14"/>
      <c r="U104" s="14"/>
      <c r="V104" s="14"/>
      <c r="W104" s="14"/>
      <c r="X104" s="14"/>
      <c r="Y104" s="14"/>
      <c r="Z104" s="14"/>
      <c r="AA104" s="14"/>
    </row>
    <row r="105" spans="1:27" s="60" customFormat="1">
      <c r="A105" s="32"/>
      <c r="B105" s="13"/>
      <c r="C105" s="14"/>
      <c r="H105" s="133"/>
      <c r="I105" s="128"/>
      <c r="J105" s="128"/>
      <c r="M105" s="130"/>
      <c r="Q105" s="133"/>
      <c r="R105" s="134"/>
      <c r="S105" s="130"/>
      <c r="T105" s="14"/>
      <c r="U105" s="14"/>
      <c r="V105" s="14"/>
      <c r="W105" s="14"/>
      <c r="X105" s="14"/>
      <c r="Y105" s="14"/>
      <c r="Z105" s="14"/>
      <c r="AA105" s="14"/>
    </row>
    <row r="106" spans="1:27" s="60" customFormat="1">
      <c r="A106" s="32"/>
      <c r="B106" s="13"/>
      <c r="C106" s="14"/>
      <c r="H106" s="133"/>
      <c r="I106" s="128"/>
      <c r="J106" s="128"/>
      <c r="M106" s="130"/>
      <c r="Q106" s="133"/>
      <c r="R106" s="134"/>
      <c r="S106" s="130"/>
      <c r="T106" s="14"/>
      <c r="U106" s="14"/>
      <c r="V106" s="14"/>
      <c r="W106" s="14"/>
      <c r="X106" s="14"/>
      <c r="Y106" s="14"/>
      <c r="Z106" s="14"/>
      <c r="AA106" s="14"/>
    </row>
    <row r="107" spans="1:27" s="60" customFormat="1">
      <c r="A107" s="32"/>
      <c r="B107" s="13"/>
      <c r="C107" s="14"/>
      <c r="H107" s="133"/>
      <c r="I107" s="128"/>
      <c r="J107" s="128"/>
      <c r="M107" s="130"/>
      <c r="Q107" s="133"/>
      <c r="R107" s="134"/>
      <c r="S107" s="130"/>
      <c r="T107" s="14"/>
      <c r="U107" s="14"/>
      <c r="V107" s="14"/>
      <c r="W107" s="14"/>
      <c r="X107" s="14"/>
      <c r="Y107" s="14"/>
      <c r="Z107" s="14"/>
      <c r="AA107" s="14"/>
    </row>
    <row r="108" spans="1:27" s="60" customFormat="1">
      <c r="A108" s="32"/>
      <c r="B108" s="13"/>
      <c r="C108" s="14"/>
      <c r="H108" s="133"/>
      <c r="I108" s="128"/>
      <c r="J108" s="128"/>
      <c r="M108" s="130"/>
      <c r="Q108" s="133"/>
      <c r="R108" s="134"/>
      <c r="S108" s="130"/>
      <c r="T108" s="14"/>
      <c r="U108" s="14"/>
      <c r="V108" s="14"/>
      <c r="W108" s="14"/>
      <c r="X108" s="14"/>
      <c r="Y108" s="14"/>
      <c r="Z108" s="14"/>
      <c r="AA108" s="14"/>
    </row>
    <row r="109" spans="1:27" s="60" customFormat="1">
      <c r="A109" s="32"/>
      <c r="B109" s="13"/>
      <c r="C109" s="14"/>
      <c r="H109" s="133"/>
      <c r="I109" s="128"/>
      <c r="J109" s="128"/>
      <c r="M109" s="130"/>
      <c r="Q109" s="133"/>
      <c r="R109" s="134"/>
      <c r="S109" s="130"/>
      <c r="T109" s="14"/>
      <c r="U109" s="14"/>
      <c r="V109" s="14"/>
      <c r="W109" s="14"/>
      <c r="X109" s="14"/>
      <c r="Y109" s="14"/>
      <c r="Z109" s="14"/>
      <c r="AA109" s="14"/>
    </row>
    <row r="110" spans="1:27" s="60" customFormat="1">
      <c r="A110" s="32"/>
      <c r="B110" s="13"/>
      <c r="C110" s="14"/>
      <c r="H110" s="133"/>
      <c r="I110" s="128"/>
      <c r="J110" s="128"/>
      <c r="M110" s="130"/>
      <c r="Q110" s="133"/>
      <c r="R110" s="134"/>
      <c r="S110" s="130"/>
      <c r="T110" s="14"/>
      <c r="U110" s="14"/>
      <c r="V110" s="14"/>
      <c r="W110" s="14"/>
      <c r="X110" s="14"/>
      <c r="Y110" s="14"/>
      <c r="Z110" s="14"/>
      <c r="AA110" s="14"/>
    </row>
    <row r="111" spans="1:27" s="60" customFormat="1">
      <c r="A111" s="32"/>
      <c r="B111" s="13"/>
      <c r="C111" s="14"/>
      <c r="H111" s="133"/>
      <c r="I111" s="128"/>
      <c r="J111" s="128"/>
      <c r="M111" s="130"/>
      <c r="Q111" s="133"/>
      <c r="R111" s="134"/>
      <c r="S111" s="130"/>
      <c r="T111" s="14"/>
      <c r="U111" s="14"/>
      <c r="V111" s="14"/>
      <c r="W111" s="14"/>
      <c r="X111" s="14"/>
      <c r="Y111" s="14"/>
      <c r="Z111" s="14"/>
      <c r="AA111" s="14"/>
    </row>
    <row r="112" spans="1:27" s="60" customFormat="1">
      <c r="A112" s="32"/>
      <c r="B112" s="13"/>
      <c r="C112" s="14"/>
      <c r="H112" s="133"/>
      <c r="I112" s="128"/>
      <c r="J112" s="128"/>
      <c r="M112" s="130"/>
      <c r="Q112" s="133"/>
      <c r="R112" s="134"/>
      <c r="S112" s="130"/>
      <c r="T112" s="14"/>
      <c r="U112" s="14"/>
      <c r="V112" s="14"/>
      <c r="W112" s="14"/>
      <c r="X112" s="14"/>
      <c r="Y112" s="14"/>
      <c r="Z112" s="14"/>
      <c r="AA112" s="14"/>
    </row>
    <row r="113" spans="1:27" s="60" customFormat="1">
      <c r="A113" s="32"/>
      <c r="B113" s="13"/>
      <c r="C113" s="14"/>
      <c r="H113" s="133"/>
      <c r="I113" s="128"/>
      <c r="J113" s="128"/>
      <c r="M113" s="130"/>
      <c r="Q113" s="133"/>
      <c r="R113" s="134"/>
      <c r="S113" s="130"/>
      <c r="T113" s="14"/>
      <c r="U113" s="14"/>
      <c r="V113" s="14"/>
      <c r="W113" s="14"/>
      <c r="X113" s="14"/>
      <c r="Y113" s="14"/>
      <c r="Z113" s="14"/>
      <c r="AA113" s="14"/>
    </row>
    <row r="114" spans="1:27" s="60" customFormat="1">
      <c r="A114" s="32"/>
      <c r="B114" s="13"/>
      <c r="C114" s="14"/>
      <c r="H114" s="133"/>
      <c r="I114" s="128"/>
      <c r="J114" s="128"/>
      <c r="M114" s="130"/>
      <c r="Q114" s="133"/>
      <c r="R114" s="134"/>
      <c r="S114" s="130"/>
      <c r="T114" s="14"/>
      <c r="U114" s="14"/>
      <c r="V114" s="14"/>
      <c r="W114" s="14"/>
      <c r="X114" s="14"/>
      <c r="Y114" s="14"/>
      <c r="Z114" s="14"/>
      <c r="AA114" s="14"/>
    </row>
    <row r="115" spans="1:27" s="60" customFormat="1">
      <c r="A115" s="32"/>
      <c r="B115" s="13"/>
      <c r="C115" s="14"/>
      <c r="H115" s="133"/>
      <c r="I115" s="128"/>
      <c r="J115" s="128"/>
      <c r="M115" s="130"/>
      <c r="Q115" s="133"/>
      <c r="R115" s="134"/>
      <c r="S115" s="130"/>
      <c r="T115" s="14"/>
      <c r="U115" s="14"/>
      <c r="V115" s="14"/>
      <c r="W115" s="14"/>
      <c r="X115" s="14"/>
      <c r="Y115" s="14"/>
      <c r="Z115" s="14"/>
      <c r="AA115" s="14"/>
    </row>
    <row r="116" spans="1:27" s="60" customFormat="1">
      <c r="A116" s="32"/>
      <c r="B116" s="13"/>
      <c r="C116" s="14"/>
      <c r="H116" s="133"/>
      <c r="I116" s="128"/>
      <c r="J116" s="128"/>
      <c r="M116" s="130"/>
      <c r="Q116" s="133"/>
      <c r="R116" s="134"/>
      <c r="S116" s="130"/>
      <c r="T116" s="14"/>
      <c r="U116" s="14"/>
      <c r="V116" s="14"/>
      <c r="W116" s="14"/>
      <c r="X116" s="14"/>
      <c r="Y116" s="14"/>
      <c r="Z116" s="14"/>
      <c r="AA116" s="14"/>
    </row>
    <row r="117" spans="1:27" s="60" customFormat="1">
      <c r="A117" s="32"/>
      <c r="B117" s="13"/>
      <c r="C117" s="14"/>
      <c r="H117" s="133"/>
      <c r="I117" s="128"/>
      <c r="J117" s="128"/>
      <c r="M117" s="130"/>
      <c r="Q117" s="133"/>
      <c r="R117" s="134"/>
      <c r="S117" s="130"/>
      <c r="T117" s="14"/>
      <c r="U117" s="14"/>
      <c r="V117" s="14"/>
      <c r="W117" s="14"/>
      <c r="X117" s="14"/>
      <c r="Y117" s="14"/>
      <c r="Z117" s="14"/>
      <c r="AA117" s="14"/>
    </row>
    <row r="118" spans="1:27" s="60" customFormat="1">
      <c r="A118" s="32"/>
      <c r="B118" s="13"/>
      <c r="C118" s="14"/>
      <c r="H118" s="133"/>
      <c r="I118" s="128"/>
      <c r="J118" s="128"/>
      <c r="M118" s="130"/>
      <c r="Q118" s="133"/>
      <c r="R118" s="134"/>
      <c r="S118" s="130"/>
      <c r="T118" s="14"/>
      <c r="U118" s="14"/>
      <c r="V118" s="14"/>
      <c r="W118" s="14"/>
      <c r="X118" s="14"/>
      <c r="Y118" s="14"/>
      <c r="Z118" s="14"/>
      <c r="AA118" s="14"/>
    </row>
    <row r="119" spans="1:27" s="60" customFormat="1">
      <c r="A119" s="32"/>
      <c r="B119" s="13"/>
      <c r="C119" s="14"/>
      <c r="H119" s="133"/>
      <c r="I119" s="128"/>
      <c r="J119" s="128"/>
      <c r="M119" s="130"/>
      <c r="Q119" s="133"/>
      <c r="R119" s="134"/>
      <c r="S119" s="130"/>
      <c r="T119" s="14"/>
      <c r="U119" s="14"/>
      <c r="V119" s="14"/>
      <c r="W119" s="14"/>
      <c r="X119" s="14"/>
      <c r="Y119" s="14"/>
      <c r="Z119" s="14"/>
      <c r="AA119" s="14"/>
    </row>
    <row r="120" spans="1:27" s="60" customFormat="1">
      <c r="A120" s="32"/>
      <c r="B120" s="13"/>
      <c r="C120" s="14"/>
      <c r="H120" s="133"/>
      <c r="I120" s="128"/>
      <c r="J120" s="128"/>
      <c r="M120" s="130"/>
      <c r="Q120" s="133"/>
      <c r="R120" s="134"/>
      <c r="S120" s="130"/>
      <c r="T120" s="14"/>
      <c r="U120" s="14"/>
      <c r="V120" s="14"/>
      <c r="W120" s="14"/>
      <c r="X120" s="14"/>
      <c r="Y120" s="14"/>
      <c r="Z120" s="14"/>
      <c r="AA120" s="14"/>
    </row>
    <row r="121" spans="1:27" s="60" customFormat="1">
      <c r="A121" s="32"/>
      <c r="B121" s="13"/>
      <c r="C121" s="14"/>
      <c r="H121" s="133"/>
      <c r="I121" s="128"/>
      <c r="J121" s="128"/>
      <c r="M121" s="130"/>
      <c r="Q121" s="133"/>
      <c r="R121" s="134"/>
      <c r="S121" s="130"/>
      <c r="T121" s="14"/>
      <c r="U121" s="14"/>
      <c r="V121" s="14"/>
      <c r="W121" s="14"/>
      <c r="X121" s="14"/>
      <c r="Y121" s="14"/>
      <c r="Z121" s="14"/>
      <c r="AA121" s="14"/>
    </row>
    <row r="122" spans="1:27" s="60" customFormat="1">
      <c r="A122" s="32"/>
      <c r="B122" s="13"/>
      <c r="C122" s="14"/>
      <c r="H122" s="133"/>
      <c r="I122" s="128"/>
      <c r="J122" s="128"/>
      <c r="M122" s="130"/>
      <c r="Q122" s="133"/>
      <c r="R122" s="134"/>
      <c r="S122" s="130"/>
      <c r="T122" s="14"/>
      <c r="U122" s="14"/>
      <c r="V122" s="14"/>
      <c r="W122" s="14"/>
      <c r="X122" s="14"/>
      <c r="Y122" s="14"/>
      <c r="Z122" s="14"/>
      <c r="AA122" s="14"/>
    </row>
    <row r="123" spans="1:27" s="60" customFormat="1">
      <c r="A123" s="32"/>
      <c r="B123" s="13"/>
      <c r="C123" s="14"/>
      <c r="H123" s="133"/>
      <c r="I123" s="128"/>
      <c r="J123" s="128"/>
      <c r="M123" s="130"/>
      <c r="Q123" s="133"/>
      <c r="R123" s="134"/>
      <c r="S123" s="130"/>
      <c r="T123" s="14"/>
      <c r="U123" s="14"/>
      <c r="V123" s="14"/>
      <c r="W123" s="14"/>
      <c r="X123" s="14"/>
      <c r="Y123" s="14"/>
      <c r="Z123" s="14"/>
      <c r="AA123" s="14"/>
    </row>
    <row r="124" spans="1:27" s="60" customFormat="1">
      <c r="A124" s="32"/>
      <c r="B124" s="13"/>
      <c r="C124" s="14"/>
      <c r="H124" s="133"/>
      <c r="I124" s="128"/>
      <c r="J124" s="128"/>
      <c r="M124" s="130"/>
      <c r="Q124" s="133"/>
      <c r="R124" s="134"/>
      <c r="S124" s="130"/>
      <c r="T124" s="14"/>
      <c r="U124" s="14"/>
      <c r="V124" s="14"/>
      <c r="W124" s="14"/>
      <c r="X124" s="14"/>
      <c r="Y124" s="14"/>
      <c r="Z124" s="14"/>
      <c r="AA124" s="14"/>
    </row>
    <row r="125" spans="1:27" s="60" customFormat="1">
      <c r="A125" s="32"/>
      <c r="B125" s="13"/>
      <c r="C125" s="14"/>
      <c r="H125" s="133"/>
      <c r="I125" s="128"/>
      <c r="J125" s="128"/>
      <c r="M125" s="130"/>
      <c r="Q125" s="133"/>
      <c r="R125" s="134"/>
      <c r="S125" s="130"/>
      <c r="T125" s="14"/>
      <c r="U125" s="14"/>
      <c r="V125" s="14"/>
      <c r="W125" s="14"/>
      <c r="X125" s="14"/>
      <c r="Y125" s="14"/>
      <c r="Z125" s="14"/>
      <c r="AA125" s="14"/>
    </row>
    <row r="126" spans="1:27" s="60" customFormat="1">
      <c r="A126" s="32"/>
      <c r="B126" s="13"/>
      <c r="C126" s="14"/>
      <c r="H126" s="133"/>
      <c r="I126" s="128"/>
      <c r="J126" s="128"/>
      <c r="M126" s="130"/>
      <c r="Q126" s="133"/>
      <c r="R126" s="134"/>
      <c r="S126" s="130"/>
      <c r="T126" s="14"/>
      <c r="U126" s="14"/>
      <c r="V126" s="14"/>
      <c r="W126" s="14"/>
      <c r="X126" s="14"/>
      <c r="Y126" s="14"/>
      <c r="Z126" s="14"/>
      <c r="AA126" s="14"/>
    </row>
    <row r="127" spans="1:27" s="60" customFormat="1">
      <c r="A127" s="32"/>
      <c r="B127" s="13"/>
      <c r="C127" s="14"/>
      <c r="H127" s="133"/>
      <c r="I127" s="128"/>
      <c r="J127" s="128"/>
      <c r="M127" s="130"/>
      <c r="Q127" s="133"/>
      <c r="R127" s="134"/>
      <c r="S127" s="130"/>
      <c r="T127" s="14"/>
      <c r="U127" s="14"/>
      <c r="V127" s="14"/>
      <c r="W127" s="14"/>
      <c r="X127" s="14"/>
      <c r="Y127" s="14"/>
      <c r="Z127" s="14"/>
      <c r="AA127" s="14"/>
    </row>
    <row r="128" spans="1:27" s="60" customFormat="1">
      <c r="A128" s="32"/>
      <c r="B128" s="13"/>
      <c r="C128" s="14"/>
      <c r="H128" s="133"/>
      <c r="I128" s="128"/>
      <c r="J128" s="128"/>
      <c r="M128" s="130"/>
      <c r="Q128" s="133"/>
      <c r="R128" s="134"/>
      <c r="S128" s="130"/>
      <c r="T128" s="14"/>
      <c r="U128" s="14"/>
      <c r="V128" s="14"/>
      <c r="W128" s="14"/>
      <c r="X128" s="14"/>
      <c r="Y128" s="14"/>
      <c r="Z128" s="14"/>
      <c r="AA128" s="14"/>
    </row>
    <row r="129" spans="1:27" s="60" customFormat="1">
      <c r="A129" s="32"/>
      <c r="B129" s="13"/>
      <c r="C129" s="14"/>
      <c r="H129" s="133"/>
      <c r="I129" s="128"/>
      <c r="J129" s="128"/>
      <c r="M129" s="130"/>
      <c r="Q129" s="133"/>
      <c r="R129" s="134"/>
      <c r="S129" s="130"/>
      <c r="T129" s="14"/>
      <c r="U129" s="14"/>
      <c r="V129" s="14"/>
      <c r="W129" s="14"/>
      <c r="X129" s="14"/>
      <c r="Y129" s="14"/>
      <c r="Z129" s="14"/>
      <c r="AA129" s="14"/>
    </row>
    <row r="130" spans="1:27" s="60" customFormat="1">
      <c r="A130" s="32"/>
      <c r="B130" s="13"/>
      <c r="C130" s="14"/>
      <c r="H130" s="133"/>
      <c r="I130" s="128"/>
      <c r="J130" s="128"/>
      <c r="M130" s="130"/>
      <c r="Q130" s="133"/>
      <c r="R130" s="134"/>
      <c r="S130" s="130"/>
      <c r="T130" s="14"/>
      <c r="U130" s="14"/>
      <c r="V130" s="14"/>
      <c r="W130" s="14"/>
      <c r="X130" s="14"/>
      <c r="Y130" s="14"/>
      <c r="Z130" s="14"/>
      <c r="AA130" s="14"/>
    </row>
    <row r="131" spans="1:27" s="60" customFormat="1">
      <c r="A131" s="32"/>
      <c r="B131" s="13"/>
      <c r="C131" s="14"/>
      <c r="H131" s="133"/>
      <c r="I131" s="128"/>
      <c r="J131" s="128"/>
      <c r="M131" s="130"/>
      <c r="Q131" s="133"/>
      <c r="R131" s="134"/>
      <c r="S131" s="130"/>
      <c r="T131" s="14"/>
      <c r="U131" s="14"/>
      <c r="V131" s="14"/>
      <c r="W131" s="14"/>
      <c r="X131" s="14"/>
      <c r="Y131" s="14"/>
      <c r="Z131" s="14"/>
      <c r="AA131" s="14"/>
    </row>
    <row r="132" spans="1:27" s="60" customFormat="1">
      <c r="A132" s="32"/>
      <c r="B132" s="13"/>
      <c r="C132" s="14"/>
      <c r="H132" s="133"/>
      <c r="I132" s="128"/>
      <c r="J132" s="128"/>
      <c r="M132" s="130"/>
      <c r="Q132" s="133"/>
      <c r="R132" s="134"/>
      <c r="S132" s="130"/>
      <c r="T132" s="14"/>
      <c r="U132" s="14"/>
      <c r="V132" s="14"/>
      <c r="W132" s="14"/>
      <c r="X132" s="14"/>
      <c r="Y132" s="14"/>
      <c r="Z132" s="14"/>
      <c r="AA132" s="14"/>
    </row>
    <row r="133" spans="1:27" s="60" customFormat="1">
      <c r="A133" s="32"/>
      <c r="B133" s="13"/>
      <c r="C133" s="14"/>
      <c r="H133" s="133"/>
      <c r="I133" s="128"/>
      <c r="J133" s="128"/>
      <c r="M133" s="130"/>
      <c r="Q133" s="133"/>
      <c r="R133" s="134"/>
      <c r="S133" s="130"/>
      <c r="T133" s="14"/>
      <c r="U133" s="14"/>
      <c r="V133" s="14"/>
      <c r="W133" s="14"/>
      <c r="X133" s="14"/>
      <c r="Y133" s="14"/>
      <c r="Z133" s="14"/>
      <c r="AA133" s="14"/>
    </row>
    <row r="134" spans="1:27" s="60" customFormat="1">
      <c r="A134" s="32"/>
      <c r="B134" s="13"/>
      <c r="C134" s="14"/>
      <c r="H134" s="133"/>
      <c r="I134" s="128"/>
      <c r="J134" s="128"/>
      <c r="M134" s="130"/>
      <c r="Q134" s="133"/>
      <c r="R134" s="134"/>
      <c r="S134" s="130"/>
      <c r="T134" s="14"/>
      <c r="U134" s="14"/>
      <c r="V134" s="14"/>
      <c r="W134" s="14"/>
      <c r="X134" s="14"/>
      <c r="Y134" s="14"/>
      <c r="Z134" s="14"/>
      <c r="AA134" s="14"/>
    </row>
    <row r="135" spans="1:27" s="60" customFormat="1">
      <c r="A135" s="32"/>
      <c r="B135" s="13"/>
      <c r="C135" s="14"/>
      <c r="H135" s="133"/>
      <c r="I135" s="128"/>
      <c r="J135" s="128"/>
      <c r="M135" s="130"/>
      <c r="Q135" s="133"/>
      <c r="R135" s="134"/>
      <c r="S135" s="130"/>
      <c r="T135" s="14"/>
      <c r="U135" s="14"/>
      <c r="V135" s="14"/>
      <c r="W135" s="14"/>
      <c r="X135" s="14"/>
      <c r="Y135" s="14"/>
      <c r="Z135" s="14"/>
      <c r="AA135" s="14"/>
    </row>
    <row r="136" spans="1:27" s="60" customFormat="1">
      <c r="A136" s="32"/>
      <c r="B136" s="13"/>
      <c r="C136" s="14"/>
      <c r="H136" s="133"/>
      <c r="I136" s="128"/>
      <c r="J136" s="128"/>
      <c r="M136" s="130"/>
      <c r="Q136" s="133"/>
      <c r="R136" s="134"/>
      <c r="S136" s="130"/>
      <c r="T136" s="14"/>
      <c r="U136" s="14"/>
      <c r="V136" s="14"/>
      <c r="W136" s="14"/>
      <c r="X136" s="14"/>
      <c r="Y136" s="14"/>
      <c r="Z136" s="14"/>
      <c r="AA136" s="14"/>
    </row>
    <row r="137" spans="1:27" s="60" customFormat="1">
      <c r="A137" s="32"/>
      <c r="B137" s="13"/>
      <c r="C137" s="14"/>
      <c r="H137" s="133"/>
      <c r="I137" s="128"/>
      <c r="J137" s="128"/>
      <c r="M137" s="130"/>
      <c r="Q137" s="133"/>
      <c r="R137" s="134"/>
      <c r="S137" s="130"/>
      <c r="T137" s="14"/>
      <c r="U137" s="14"/>
      <c r="V137" s="14"/>
      <c r="W137" s="14"/>
      <c r="X137" s="14"/>
      <c r="Y137" s="14"/>
      <c r="Z137" s="14"/>
      <c r="AA137" s="14"/>
    </row>
    <row r="138" spans="1:27" s="60" customFormat="1">
      <c r="A138" s="32"/>
      <c r="B138" s="13"/>
      <c r="C138" s="14"/>
      <c r="H138" s="133"/>
      <c r="I138" s="128"/>
      <c r="J138" s="128"/>
      <c r="M138" s="130"/>
      <c r="Q138" s="133"/>
      <c r="R138" s="134"/>
      <c r="S138" s="130"/>
      <c r="T138" s="14"/>
      <c r="U138" s="14"/>
      <c r="V138" s="14"/>
      <c r="W138" s="14"/>
      <c r="X138" s="14"/>
      <c r="Y138" s="14"/>
      <c r="Z138" s="14"/>
      <c r="AA138" s="14"/>
    </row>
    <row r="139" spans="1:27" s="60" customFormat="1">
      <c r="A139" s="32"/>
      <c r="B139" s="13"/>
      <c r="C139" s="14"/>
      <c r="H139" s="133"/>
      <c r="I139" s="128"/>
      <c r="J139" s="128"/>
      <c r="M139" s="130"/>
      <c r="Q139" s="133"/>
      <c r="R139" s="134"/>
      <c r="S139" s="130"/>
      <c r="T139" s="14"/>
      <c r="U139" s="14"/>
      <c r="V139" s="14"/>
      <c r="W139" s="14"/>
      <c r="X139" s="14"/>
      <c r="Y139" s="14"/>
      <c r="Z139" s="14"/>
      <c r="AA139" s="14"/>
    </row>
    <row r="140" spans="1:27" s="60" customFormat="1">
      <c r="A140" s="32"/>
      <c r="B140" s="13"/>
      <c r="C140" s="14"/>
      <c r="H140" s="133"/>
      <c r="I140" s="128"/>
      <c r="J140" s="128"/>
      <c r="M140" s="130"/>
      <c r="Q140" s="133"/>
      <c r="R140" s="134"/>
      <c r="S140" s="130"/>
      <c r="T140" s="14"/>
      <c r="U140" s="14"/>
      <c r="V140" s="14"/>
      <c r="W140" s="14"/>
      <c r="X140" s="14"/>
      <c r="Y140" s="14"/>
      <c r="Z140" s="14"/>
      <c r="AA140" s="14"/>
    </row>
    <row r="141" spans="1:27" s="60" customFormat="1">
      <c r="A141" s="32"/>
      <c r="B141" s="13"/>
      <c r="C141" s="14"/>
      <c r="H141" s="133"/>
      <c r="I141" s="128"/>
      <c r="J141" s="128"/>
      <c r="M141" s="130"/>
      <c r="Q141" s="133"/>
      <c r="R141" s="134"/>
      <c r="S141" s="130"/>
      <c r="T141" s="14"/>
      <c r="U141" s="14"/>
      <c r="V141" s="14"/>
      <c r="W141" s="14"/>
      <c r="X141" s="14"/>
      <c r="Y141" s="14"/>
      <c r="Z141" s="14"/>
      <c r="AA141" s="14"/>
    </row>
    <row r="142" spans="1:27" s="60" customFormat="1">
      <c r="A142" s="32"/>
      <c r="B142" s="13"/>
      <c r="C142" s="14"/>
      <c r="H142" s="133"/>
      <c r="I142" s="128"/>
      <c r="J142" s="128"/>
      <c r="M142" s="130"/>
      <c r="Q142" s="133"/>
      <c r="R142" s="134"/>
      <c r="S142" s="130"/>
      <c r="T142" s="14"/>
      <c r="U142" s="14"/>
      <c r="V142" s="14"/>
      <c r="W142" s="14"/>
      <c r="X142" s="14"/>
      <c r="Y142" s="14"/>
      <c r="Z142" s="14"/>
      <c r="AA142" s="14"/>
    </row>
    <row r="143" spans="1:27" s="60" customFormat="1">
      <c r="A143" s="32"/>
      <c r="B143" s="13"/>
      <c r="C143" s="14"/>
      <c r="H143" s="133"/>
      <c r="I143" s="128"/>
      <c r="J143" s="128"/>
      <c r="M143" s="130"/>
      <c r="Q143" s="133"/>
      <c r="R143" s="134"/>
      <c r="S143" s="130"/>
      <c r="T143" s="14"/>
      <c r="U143" s="14"/>
      <c r="V143" s="14"/>
      <c r="W143" s="14"/>
      <c r="X143" s="14"/>
      <c r="Y143" s="14"/>
      <c r="Z143" s="14"/>
      <c r="AA143" s="14"/>
    </row>
    <row r="144" spans="1:27" s="60" customFormat="1">
      <c r="A144" s="32"/>
      <c r="B144" s="13"/>
      <c r="C144" s="14"/>
      <c r="H144" s="133"/>
      <c r="I144" s="128"/>
      <c r="J144" s="128"/>
      <c r="M144" s="130"/>
      <c r="Q144" s="133"/>
      <c r="R144" s="134"/>
      <c r="S144" s="130"/>
      <c r="T144" s="14"/>
      <c r="U144" s="14"/>
      <c r="V144" s="14"/>
      <c r="W144" s="14"/>
      <c r="X144" s="14"/>
      <c r="Y144" s="14"/>
      <c r="Z144" s="14"/>
      <c r="AA144" s="14"/>
    </row>
    <row r="145" spans="1:27" s="60" customFormat="1">
      <c r="A145" s="32"/>
      <c r="B145" s="13"/>
      <c r="C145" s="14"/>
      <c r="H145" s="133"/>
      <c r="I145" s="128"/>
      <c r="J145" s="128"/>
      <c r="M145" s="130"/>
      <c r="Q145" s="133"/>
      <c r="R145" s="134"/>
      <c r="S145" s="130"/>
      <c r="T145" s="14"/>
      <c r="U145" s="14"/>
      <c r="V145" s="14"/>
      <c r="W145" s="14"/>
      <c r="X145" s="14"/>
      <c r="Y145" s="14"/>
      <c r="Z145" s="14"/>
      <c r="AA145" s="14"/>
    </row>
    <row r="146" spans="1:27" s="60" customFormat="1">
      <c r="A146" s="32"/>
      <c r="B146" s="13"/>
      <c r="C146" s="14"/>
      <c r="H146" s="133"/>
      <c r="I146" s="128"/>
      <c r="J146" s="128"/>
      <c r="M146" s="130"/>
      <c r="Q146" s="133"/>
      <c r="R146" s="134"/>
      <c r="S146" s="130"/>
      <c r="T146" s="14"/>
      <c r="U146" s="14"/>
      <c r="V146" s="14"/>
      <c r="W146" s="14"/>
      <c r="X146" s="14"/>
      <c r="Y146" s="14"/>
      <c r="Z146" s="14"/>
      <c r="AA146" s="14"/>
    </row>
    <row r="147" spans="1:27" s="60" customFormat="1">
      <c r="A147" s="32"/>
      <c r="B147" s="13"/>
      <c r="C147" s="14"/>
      <c r="H147" s="133"/>
      <c r="I147" s="128"/>
      <c r="J147" s="128"/>
      <c r="M147" s="130"/>
      <c r="Q147" s="133"/>
      <c r="R147" s="134"/>
      <c r="S147" s="130"/>
      <c r="T147" s="14"/>
      <c r="U147" s="14"/>
      <c r="V147" s="14"/>
      <c r="W147" s="14"/>
      <c r="X147" s="14"/>
      <c r="Y147" s="14"/>
      <c r="Z147" s="14"/>
      <c r="AA147" s="14"/>
    </row>
    <row r="148" spans="1:27" s="60" customFormat="1">
      <c r="A148" s="32"/>
      <c r="B148" s="13"/>
      <c r="C148" s="14"/>
      <c r="H148" s="133"/>
      <c r="I148" s="128"/>
      <c r="J148" s="128"/>
      <c r="M148" s="130"/>
      <c r="Q148" s="133"/>
      <c r="R148" s="134"/>
      <c r="S148" s="130"/>
      <c r="T148" s="14"/>
      <c r="U148" s="14"/>
      <c r="V148" s="14"/>
      <c r="W148" s="14"/>
      <c r="X148" s="14"/>
      <c r="Y148" s="14"/>
      <c r="Z148" s="14"/>
      <c r="AA148" s="14"/>
    </row>
    <row r="149" spans="1:27" s="60" customFormat="1">
      <c r="A149" s="32"/>
      <c r="B149" s="13"/>
      <c r="C149" s="14"/>
      <c r="H149" s="133"/>
      <c r="I149" s="128"/>
      <c r="J149" s="128"/>
      <c r="M149" s="130"/>
      <c r="Q149" s="133"/>
      <c r="R149" s="134"/>
      <c r="S149" s="130"/>
      <c r="T149" s="14"/>
      <c r="U149" s="14"/>
      <c r="V149" s="14"/>
      <c r="W149" s="14"/>
      <c r="X149" s="14"/>
      <c r="Y149" s="14"/>
      <c r="Z149" s="14"/>
      <c r="AA149" s="14"/>
    </row>
    <row r="150" spans="1:27" s="60" customFormat="1">
      <c r="A150" s="32"/>
      <c r="B150" s="13"/>
      <c r="C150" s="14"/>
      <c r="H150" s="133"/>
      <c r="I150" s="128"/>
      <c r="J150" s="128"/>
      <c r="M150" s="130"/>
      <c r="Q150" s="133"/>
      <c r="R150" s="134"/>
      <c r="S150" s="130"/>
      <c r="T150" s="14"/>
      <c r="U150" s="14"/>
      <c r="V150" s="14"/>
      <c r="W150" s="14"/>
      <c r="X150" s="14"/>
      <c r="Y150" s="14"/>
      <c r="Z150" s="14"/>
      <c r="AA150" s="14"/>
    </row>
    <row r="151" spans="1:27" s="60" customFormat="1">
      <c r="A151" s="32"/>
      <c r="B151" s="13"/>
      <c r="C151" s="14"/>
      <c r="H151" s="133"/>
      <c r="I151" s="128"/>
      <c r="J151" s="128"/>
      <c r="M151" s="130"/>
      <c r="Q151" s="133"/>
      <c r="R151" s="134"/>
      <c r="S151" s="130"/>
      <c r="T151" s="14"/>
      <c r="U151" s="14"/>
      <c r="V151" s="14"/>
      <c r="W151" s="14"/>
      <c r="X151" s="14"/>
      <c r="Y151" s="14"/>
      <c r="Z151" s="14"/>
      <c r="AA151" s="14"/>
    </row>
    <row r="152" spans="1:27" s="60" customFormat="1">
      <c r="A152" s="32"/>
      <c r="B152" s="13"/>
      <c r="C152" s="14"/>
      <c r="H152" s="133"/>
      <c r="I152" s="128"/>
      <c r="J152" s="128"/>
      <c r="M152" s="130"/>
      <c r="Q152" s="133"/>
      <c r="R152" s="134"/>
      <c r="S152" s="130"/>
      <c r="T152" s="14"/>
      <c r="U152" s="14"/>
      <c r="V152" s="14"/>
      <c r="W152" s="14"/>
      <c r="X152" s="14"/>
      <c r="Y152" s="14"/>
      <c r="Z152" s="14"/>
      <c r="AA152" s="14"/>
    </row>
    <row r="153" spans="1:27" s="60" customFormat="1">
      <c r="A153" s="32"/>
      <c r="B153" s="13"/>
      <c r="C153" s="14"/>
      <c r="H153" s="133"/>
      <c r="I153" s="128"/>
      <c r="J153" s="128"/>
      <c r="M153" s="130"/>
      <c r="Q153" s="133"/>
      <c r="R153" s="134"/>
      <c r="S153" s="130"/>
      <c r="T153" s="14"/>
      <c r="U153" s="14"/>
      <c r="V153" s="14"/>
      <c r="W153" s="14"/>
      <c r="X153" s="14"/>
      <c r="Y153" s="14"/>
      <c r="Z153" s="14"/>
      <c r="AA153" s="14"/>
    </row>
    <row r="154" spans="1:27" s="60" customFormat="1">
      <c r="A154" s="32"/>
      <c r="B154" s="13"/>
      <c r="C154" s="14"/>
      <c r="H154" s="133"/>
      <c r="I154" s="128"/>
      <c r="J154" s="128"/>
      <c r="M154" s="130"/>
      <c r="Q154" s="133"/>
      <c r="R154" s="134"/>
      <c r="S154" s="130"/>
      <c r="T154" s="14"/>
      <c r="U154" s="14"/>
      <c r="V154" s="14"/>
      <c r="W154" s="14"/>
      <c r="X154" s="14"/>
      <c r="Y154" s="14"/>
      <c r="Z154" s="14"/>
      <c r="AA154" s="14"/>
    </row>
    <row r="155" spans="1:27" s="60" customFormat="1">
      <c r="A155" s="32"/>
      <c r="B155" s="13"/>
      <c r="C155" s="14"/>
      <c r="H155" s="133"/>
      <c r="I155" s="128"/>
      <c r="J155" s="128"/>
      <c r="M155" s="130"/>
      <c r="Q155" s="133"/>
      <c r="R155" s="134"/>
      <c r="S155" s="130"/>
      <c r="T155" s="14"/>
      <c r="U155" s="14"/>
      <c r="V155" s="14"/>
      <c r="W155" s="14"/>
      <c r="X155" s="14"/>
      <c r="Y155" s="14"/>
      <c r="Z155" s="14"/>
      <c r="AA155" s="14"/>
    </row>
    <row r="156" spans="1:27" s="60" customFormat="1">
      <c r="A156" s="32"/>
      <c r="B156" s="13"/>
      <c r="C156" s="14"/>
      <c r="H156" s="133"/>
      <c r="I156" s="128"/>
      <c r="J156" s="128"/>
      <c r="M156" s="130"/>
      <c r="Q156" s="133"/>
      <c r="R156" s="134"/>
      <c r="S156" s="130"/>
      <c r="T156" s="14"/>
      <c r="U156" s="14"/>
      <c r="V156" s="14"/>
      <c r="W156" s="14"/>
      <c r="X156" s="14"/>
      <c r="Y156" s="14"/>
      <c r="Z156" s="14"/>
      <c r="AA156" s="14"/>
    </row>
    <row r="157" spans="1:27" s="60" customFormat="1">
      <c r="A157" s="32"/>
      <c r="B157" s="13"/>
      <c r="C157" s="14"/>
      <c r="H157" s="133"/>
      <c r="I157" s="128"/>
      <c r="J157" s="128"/>
      <c r="M157" s="130"/>
      <c r="Q157" s="133"/>
      <c r="R157" s="134"/>
      <c r="S157" s="130"/>
      <c r="T157" s="14"/>
      <c r="U157" s="14"/>
      <c r="V157" s="14"/>
      <c r="W157" s="14"/>
      <c r="X157" s="14"/>
      <c r="Y157" s="14"/>
      <c r="Z157" s="14"/>
      <c r="AA157" s="14"/>
    </row>
    <row r="158" spans="1:27" s="60" customFormat="1">
      <c r="A158" s="32"/>
      <c r="B158" s="13"/>
      <c r="C158" s="14"/>
      <c r="H158" s="133"/>
      <c r="I158" s="128"/>
      <c r="J158" s="128"/>
      <c r="M158" s="130"/>
      <c r="Q158" s="133"/>
      <c r="R158" s="134"/>
      <c r="S158" s="130"/>
      <c r="T158" s="14"/>
      <c r="U158" s="14"/>
      <c r="V158" s="14"/>
      <c r="W158" s="14"/>
      <c r="X158" s="14"/>
      <c r="Y158" s="14"/>
      <c r="Z158" s="14"/>
      <c r="AA158" s="14"/>
    </row>
    <row r="159" spans="1:27" s="60" customFormat="1">
      <c r="A159" s="32"/>
      <c r="B159" s="13"/>
      <c r="C159" s="14"/>
      <c r="H159" s="133"/>
      <c r="I159" s="128"/>
      <c r="J159" s="128"/>
      <c r="M159" s="130"/>
      <c r="Q159" s="133"/>
      <c r="R159" s="134"/>
      <c r="S159" s="130"/>
      <c r="T159" s="14"/>
      <c r="U159" s="14"/>
      <c r="V159" s="14"/>
      <c r="W159" s="14"/>
      <c r="X159" s="14"/>
      <c r="Y159" s="14"/>
      <c r="Z159" s="14"/>
      <c r="AA159" s="14"/>
    </row>
    <row r="160" spans="1:27" s="60" customFormat="1">
      <c r="A160" s="32"/>
      <c r="B160" s="13"/>
      <c r="C160" s="14"/>
      <c r="H160" s="133"/>
      <c r="I160" s="128"/>
      <c r="J160" s="128"/>
      <c r="M160" s="130"/>
      <c r="Q160" s="133"/>
      <c r="R160" s="134"/>
      <c r="S160" s="130"/>
      <c r="T160" s="14"/>
      <c r="U160" s="14"/>
      <c r="V160" s="14"/>
      <c r="W160" s="14"/>
      <c r="X160" s="14"/>
      <c r="Y160" s="14"/>
      <c r="Z160" s="14"/>
      <c r="AA160" s="14"/>
    </row>
    <row r="161" spans="1:27" s="60" customFormat="1">
      <c r="A161" s="32"/>
      <c r="B161" s="13"/>
      <c r="C161" s="14"/>
      <c r="H161" s="133"/>
      <c r="I161" s="128"/>
      <c r="J161" s="128"/>
      <c r="M161" s="130"/>
      <c r="Q161" s="133"/>
      <c r="R161" s="134"/>
      <c r="S161" s="130"/>
      <c r="T161" s="14"/>
      <c r="U161" s="14"/>
      <c r="V161" s="14"/>
      <c r="W161" s="14"/>
      <c r="X161" s="14"/>
      <c r="Y161" s="14"/>
      <c r="Z161" s="14"/>
      <c r="AA161" s="14"/>
    </row>
    <row r="162" spans="1:27" s="60" customFormat="1">
      <c r="A162" s="32"/>
      <c r="B162" s="13"/>
      <c r="C162" s="14"/>
      <c r="H162" s="133"/>
      <c r="I162" s="128"/>
      <c r="J162" s="128"/>
      <c r="M162" s="130"/>
      <c r="Q162" s="133"/>
      <c r="R162" s="134"/>
      <c r="S162" s="130"/>
      <c r="T162" s="14"/>
      <c r="U162" s="14"/>
      <c r="V162" s="14"/>
      <c r="W162" s="14"/>
      <c r="X162" s="14"/>
      <c r="Y162" s="14"/>
      <c r="Z162" s="14"/>
      <c r="AA162" s="14"/>
    </row>
    <row r="163" spans="1:27" s="60" customFormat="1">
      <c r="A163" s="32"/>
      <c r="B163" s="13"/>
      <c r="C163" s="14"/>
      <c r="H163" s="133"/>
      <c r="I163" s="128"/>
      <c r="J163" s="128"/>
      <c r="M163" s="130"/>
      <c r="Q163" s="133"/>
      <c r="R163" s="134"/>
      <c r="S163" s="130"/>
      <c r="T163" s="14"/>
      <c r="U163" s="14"/>
      <c r="V163" s="14"/>
      <c r="W163" s="14"/>
      <c r="X163" s="14"/>
      <c r="Y163" s="14"/>
      <c r="Z163" s="14"/>
      <c r="AA163" s="14"/>
    </row>
    <row r="164" spans="1:27" s="60" customFormat="1">
      <c r="A164" s="32"/>
      <c r="B164" s="13"/>
      <c r="C164" s="14"/>
      <c r="H164" s="133"/>
      <c r="I164" s="128"/>
      <c r="J164" s="128"/>
      <c r="M164" s="130"/>
      <c r="Q164" s="133"/>
      <c r="R164" s="134"/>
      <c r="S164" s="130"/>
      <c r="T164" s="14"/>
      <c r="U164" s="14"/>
      <c r="V164" s="14"/>
      <c r="W164" s="14"/>
      <c r="X164" s="14"/>
      <c r="Y164" s="14"/>
      <c r="Z164" s="14"/>
      <c r="AA164" s="14"/>
    </row>
    <row r="165" spans="1:27" s="60" customFormat="1">
      <c r="A165" s="32"/>
      <c r="B165" s="13"/>
      <c r="C165" s="14"/>
      <c r="H165" s="133"/>
      <c r="I165" s="128"/>
      <c r="J165" s="128"/>
      <c r="M165" s="130"/>
      <c r="Q165" s="133"/>
      <c r="R165" s="134"/>
      <c r="S165" s="130"/>
      <c r="T165" s="14"/>
      <c r="U165" s="14"/>
      <c r="V165" s="14"/>
      <c r="W165" s="14"/>
      <c r="X165" s="14"/>
      <c r="Y165" s="14"/>
      <c r="Z165" s="14"/>
      <c r="AA165" s="14"/>
    </row>
    <row r="166" spans="1:27" s="60" customFormat="1">
      <c r="A166" s="32"/>
      <c r="B166" s="13"/>
      <c r="C166" s="14"/>
      <c r="H166" s="133"/>
      <c r="I166" s="128"/>
      <c r="J166" s="128"/>
      <c r="M166" s="130"/>
      <c r="Q166" s="133"/>
      <c r="R166" s="134"/>
      <c r="S166" s="130"/>
      <c r="T166" s="14"/>
      <c r="U166" s="14"/>
      <c r="V166" s="14"/>
      <c r="W166" s="14"/>
      <c r="X166" s="14"/>
      <c r="Y166" s="14"/>
      <c r="Z166" s="14"/>
      <c r="AA166" s="14"/>
    </row>
    <row r="167" spans="1:27" s="60" customFormat="1">
      <c r="A167" s="32"/>
      <c r="B167" s="13"/>
      <c r="C167" s="14"/>
      <c r="H167" s="133"/>
      <c r="I167" s="128"/>
      <c r="J167" s="128"/>
      <c r="M167" s="130"/>
      <c r="Q167" s="133"/>
      <c r="R167" s="134"/>
      <c r="S167" s="130"/>
      <c r="T167" s="14"/>
      <c r="U167" s="14"/>
      <c r="V167" s="14"/>
      <c r="W167" s="14"/>
      <c r="X167" s="14"/>
      <c r="Y167" s="14"/>
      <c r="Z167" s="14"/>
      <c r="AA167" s="14"/>
    </row>
    <row r="168" spans="1:27" s="60" customFormat="1">
      <c r="A168" s="32"/>
      <c r="B168" s="13"/>
      <c r="C168" s="14"/>
      <c r="H168" s="133"/>
      <c r="I168" s="128"/>
      <c r="J168" s="128"/>
      <c r="M168" s="130"/>
      <c r="Q168" s="133"/>
      <c r="R168" s="134"/>
      <c r="S168" s="130"/>
      <c r="T168" s="14"/>
      <c r="U168" s="14"/>
      <c r="V168" s="14"/>
      <c r="W168" s="14"/>
      <c r="X168" s="14"/>
      <c r="Y168" s="14"/>
      <c r="Z168" s="14"/>
      <c r="AA168" s="14"/>
    </row>
    <row r="169" spans="1:27" s="60" customFormat="1">
      <c r="A169" s="32"/>
      <c r="B169" s="13"/>
      <c r="C169" s="14"/>
      <c r="H169" s="133"/>
      <c r="I169" s="128"/>
      <c r="J169" s="128"/>
      <c r="M169" s="130"/>
      <c r="Q169" s="133"/>
      <c r="R169" s="134"/>
      <c r="S169" s="130"/>
      <c r="T169" s="14"/>
      <c r="U169" s="14"/>
      <c r="V169" s="14"/>
      <c r="W169" s="14"/>
      <c r="X169" s="14"/>
      <c r="Y169" s="14"/>
      <c r="Z169" s="14"/>
      <c r="AA169" s="14"/>
    </row>
    <row r="170" spans="1:27" s="60" customFormat="1">
      <c r="A170" s="32"/>
      <c r="B170" s="13"/>
      <c r="C170" s="14"/>
      <c r="H170" s="133"/>
      <c r="I170" s="128"/>
      <c r="J170" s="128"/>
      <c r="M170" s="130"/>
      <c r="Q170" s="133"/>
      <c r="R170" s="134"/>
      <c r="S170" s="130"/>
      <c r="T170" s="14"/>
      <c r="U170" s="14"/>
      <c r="V170" s="14"/>
      <c r="W170" s="14"/>
      <c r="X170" s="14"/>
      <c r="Y170" s="14"/>
      <c r="Z170" s="14"/>
      <c r="AA170" s="14"/>
    </row>
    <row r="171" spans="1:27" s="60" customFormat="1">
      <c r="A171" s="32"/>
      <c r="B171" s="13"/>
      <c r="C171" s="14"/>
      <c r="H171" s="133"/>
      <c r="I171" s="128"/>
      <c r="J171" s="128"/>
      <c r="M171" s="130"/>
      <c r="Q171" s="133"/>
      <c r="R171" s="134"/>
      <c r="S171" s="130"/>
      <c r="T171" s="14"/>
      <c r="U171" s="14"/>
      <c r="V171" s="14"/>
      <c r="W171" s="14"/>
      <c r="X171" s="14"/>
      <c r="Y171" s="14"/>
      <c r="Z171" s="14"/>
      <c r="AA171" s="14"/>
    </row>
    <row r="172" spans="1:27" s="60" customFormat="1">
      <c r="A172" s="32"/>
      <c r="B172" s="13"/>
      <c r="C172" s="14"/>
      <c r="H172" s="133"/>
      <c r="I172" s="128"/>
      <c r="J172" s="128"/>
      <c r="M172" s="130"/>
      <c r="Q172" s="133"/>
      <c r="R172" s="134"/>
      <c r="S172" s="130"/>
      <c r="T172" s="14"/>
      <c r="U172" s="14"/>
      <c r="V172" s="14"/>
      <c r="W172" s="14"/>
      <c r="X172" s="14"/>
      <c r="Y172" s="14"/>
      <c r="Z172" s="14"/>
      <c r="AA172" s="14"/>
    </row>
    <row r="173" spans="1:27" s="60" customFormat="1">
      <c r="A173" s="32"/>
      <c r="B173" s="13"/>
      <c r="C173" s="14"/>
      <c r="H173" s="133"/>
      <c r="I173" s="128"/>
      <c r="J173" s="128"/>
      <c r="M173" s="130"/>
      <c r="Q173" s="133"/>
      <c r="R173" s="134"/>
      <c r="S173" s="130"/>
      <c r="T173" s="14"/>
      <c r="U173" s="14"/>
      <c r="V173" s="14"/>
      <c r="W173" s="14"/>
      <c r="X173" s="14"/>
      <c r="Y173" s="14"/>
      <c r="Z173" s="14"/>
      <c r="AA173" s="14"/>
    </row>
    <row r="174" spans="1:27" s="60" customFormat="1">
      <c r="A174" s="32"/>
      <c r="B174" s="13"/>
      <c r="C174" s="14"/>
      <c r="H174" s="133"/>
      <c r="I174" s="128"/>
      <c r="J174" s="128"/>
      <c r="M174" s="130"/>
      <c r="Q174" s="133"/>
      <c r="R174" s="134"/>
      <c r="S174" s="130"/>
      <c r="T174" s="14"/>
      <c r="U174" s="14"/>
      <c r="V174" s="14"/>
      <c r="W174" s="14"/>
      <c r="X174" s="14"/>
      <c r="Y174" s="14"/>
      <c r="Z174" s="14"/>
      <c r="AA174" s="14"/>
    </row>
    <row r="175" spans="1:27" s="60" customFormat="1">
      <c r="A175" s="32"/>
      <c r="B175" s="13"/>
      <c r="C175" s="14"/>
      <c r="H175" s="133"/>
      <c r="I175" s="128"/>
      <c r="J175" s="128"/>
      <c r="M175" s="130"/>
      <c r="Q175" s="133"/>
      <c r="R175" s="134"/>
      <c r="S175" s="130"/>
      <c r="T175" s="14"/>
      <c r="U175" s="14"/>
      <c r="V175" s="14"/>
      <c r="W175" s="14"/>
      <c r="X175" s="14"/>
      <c r="Y175" s="14"/>
      <c r="Z175" s="14"/>
      <c r="AA175" s="14"/>
    </row>
    <row r="176" spans="1:27" s="60" customFormat="1">
      <c r="A176" s="32"/>
      <c r="B176" s="13"/>
      <c r="C176" s="14"/>
      <c r="H176" s="133"/>
      <c r="I176" s="128"/>
      <c r="J176" s="128"/>
      <c r="M176" s="130"/>
      <c r="Q176" s="133"/>
      <c r="R176" s="134"/>
      <c r="S176" s="130"/>
      <c r="T176" s="14"/>
      <c r="U176" s="14"/>
      <c r="V176" s="14"/>
      <c r="W176" s="14"/>
      <c r="X176" s="14"/>
      <c r="Y176" s="14"/>
      <c r="Z176" s="14"/>
      <c r="AA176" s="14"/>
    </row>
    <row r="177" spans="1:27" s="60" customFormat="1">
      <c r="A177" s="32"/>
      <c r="B177" s="13"/>
      <c r="C177" s="14"/>
      <c r="H177" s="133"/>
      <c r="I177" s="128"/>
      <c r="J177" s="128"/>
      <c r="M177" s="130"/>
      <c r="Q177" s="133"/>
      <c r="R177" s="134"/>
      <c r="S177" s="130"/>
      <c r="T177" s="14"/>
      <c r="U177" s="14"/>
      <c r="V177" s="14"/>
      <c r="W177" s="14"/>
      <c r="X177" s="14"/>
      <c r="Y177" s="14"/>
      <c r="Z177" s="14"/>
      <c r="AA177" s="14"/>
    </row>
    <row r="178" spans="1:27" s="60" customFormat="1">
      <c r="A178" s="32"/>
      <c r="B178" s="13"/>
      <c r="C178" s="14"/>
      <c r="H178" s="133"/>
      <c r="I178" s="128"/>
      <c r="J178" s="128"/>
      <c r="M178" s="130"/>
      <c r="Q178" s="133"/>
      <c r="R178" s="134"/>
      <c r="S178" s="130"/>
      <c r="T178" s="14"/>
      <c r="U178" s="14"/>
      <c r="V178" s="14"/>
      <c r="W178" s="14"/>
      <c r="X178" s="14"/>
      <c r="Y178" s="14"/>
      <c r="Z178" s="14"/>
      <c r="AA178" s="14"/>
    </row>
    <row r="179" spans="1:27" s="60" customFormat="1">
      <c r="A179" s="32"/>
      <c r="B179" s="13"/>
      <c r="C179" s="14"/>
      <c r="H179" s="133"/>
      <c r="I179" s="128"/>
      <c r="J179" s="128"/>
      <c r="M179" s="130"/>
      <c r="Q179" s="133"/>
      <c r="R179" s="134"/>
      <c r="S179" s="130"/>
      <c r="T179" s="14"/>
      <c r="U179" s="14"/>
      <c r="V179" s="14"/>
      <c r="W179" s="14"/>
      <c r="X179" s="14"/>
      <c r="Y179" s="14"/>
      <c r="Z179" s="14"/>
      <c r="AA179" s="14"/>
    </row>
    <row r="180" spans="1:27" s="60" customFormat="1">
      <c r="A180" s="32"/>
      <c r="B180" s="13"/>
      <c r="C180" s="14"/>
      <c r="H180" s="133"/>
      <c r="I180" s="128"/>
      <c r="J180" s="128"/>
      <c r="M180" s="130"/>
      <c r="Q180" s="133"/>
      <c r="R180" s="134"/>
      <c r="S180" s="130"/>
      <c r="T180" s="14"/>
      <c r="U180" s="14"/>
      <c r="V180" s="14"/>
      <c r="W180" s="14"/>
      <c r="X180" s="14"/>
      <c r="Y180" s="14"/>
      <c r="Z180" s="14"/>
      <c r="AA180" s="14"/>
    </row>
    <row r="181" spans="1:27" s="60" customFormat="1">
      <c r="A181" s="32"/>
      <c r="B181" s="13"/>
      <c r="C181" s="14"/>
      <c r="H181" s="133"/>
      <c r="I181" s="128"/>
      <c r="J181" s="128"/>
      <c r="M181" s="130"/>
      <c r="Q181" s="133"/>
      <c r="R181" s="134"/>
      <c r="S181" s="130"/>
      <c r="T181" s="14"/>
      <c r="U181" s="14"/>
      <c r="V181" s="14"/>
      <c r="W181" s="14"/>
      <c r="X181" s="14"/>
      <c r="Y181" s="14"/>
      <c r="Z181" s="14"/>
      <c r="AA181" s="14"/>
    </row>
    <row r="182" spans="1:27" s="60" customFormat="1">
      <c r="A182" s="32"/>
      <c r="B182" s="13"/>
      <c r="C182" s="14"/>
      <c r="H182" s="133"/>
      <c r="I182" s="128"/>
      <c r="J182" s="128"/>
      <c r="M182" s="130"/>
      <c r="Q182" s="133"/>
      <c r="R182" s="134"/>
      <c r="S182" s="130"/>
      <c r="T182" s="14"/>
      <c r="U182" s="14"/>
      <c r="V182" s="14"/>
      <c r="W182" s="14"/>
      <c r="X182" s="14"/>
      <c r="Y182" s="14"/>
      <c r="Z182" s="14"/>
      <c r="AA182" s="14"/>
    </row>
    <row r="183" spans="1:27" s="60" customFormat="1">
      <c r="A183" s="32"/>
      <c r="B183" s="13"/>
      <c r="C183" s="14"/>
      <c r="H183" s="133"/>
      <c r="I183" s="128"/>
      <c r="J183" s="128"/>
      <c r="M183" s="130"/>
      <c r="Q183" s="133"/>
      <c r="R183" s="134"/>
      <c r="S183" s="130"/>
      <c r="T183" s="14"/>
      <c r="U183" s="14"/>
      <c r="V183" s="14"/>
      <c r="W183" s="14"/>
      <c r="X183" s="14"/>
      <c r="Y183" s="14"/>
      <c r="Z183" s="14"/>
      <c r="AA183" s="14"/>
    </row>
    <row r="184" spans="1:27" s="60" customFormat="1">
      <c r="A184" s="32"/>
      <c r="B184" s="13"/>
      <c r="C184" s="14"/>
      <c r="H184" s="133"/>
      <c r="I184" s="128"/>
      <c r="J184" s="128"/>
      <c r="M184" s="130"/>
      <c r="Q184" s="133"/>
      <c r="R184" s="134"/>
      <c r="S184" s="130"/>
      <c r="T184" s="14"/>
      <c r="U184" s="14"/>
      <c r="V184" s="14"/>
      <c r="W184" s="14"/>
      <c r="X184" s="14"/>
      <c r="Y184" s="14"/>
      <c r="Z184" s="14"/>
      <c r="AA184" s="14"/>
    </row>
    <row r="185" spans="1:27" s="60" customFormat="1">
      <c r="A185" s="32"/>
      <c r="B185" s="13"/>
      <c r="C185" s="14"/>
      <c r="H185" s="133"/>
      <c r="I185" s="128"/>
      <c r="J185" s="128"/>
      <c r="M185" s="130"/>
      <c r="Q185" s="133"/>
      <c r="R185" s="134"/>
      <c r="S185" s="130"/>
      <c r="T185" s="14"/>
      <c r="U185" s="14"/>
      <c r="V185" s="14"/>
      <c r="W185" s="14"/>
      <c r="X185" s="14"/>
      <c r="Y185" s="14"/>
      <c r="Z185" s="14"/>
      <c r="AA185" s="14"/>
    </row>
    <row r="186" spans="1:27" s="60" customFormat="1">
      <c r="A186" s="32"/>
      <c r="B186" s="13"/>
      <c r="C186" s="14"/>
      <c r="H186" s="133"/>
      <c r="I186" s="128"/>
      <c r="J186" s="128"/>
      <c r="M186" s="130"/>
      <c r="Q186" s="133"/>
      <c r="R186" s="134"/>
      <c r="S186" s="130"/>
      <c r="T186" s="14"/>
      <c r="U186" s="14"/>
      <c r="V186" s="14"/>
      <c r="W186" s="14"/>
      <c r="X186" s="14"/>
      <c r="Y186" s="14"/>
      <c r="Z186" s="14"/>
      <c r="AA186" s="14"/>
    </row>
    <row r="187" spans="1:27" s="60" customFormat="1">
      <c r="A187" s="32"/>
      <c r="B187" s="13"/>
      <c r="C187" s="14"/>
      <c r="H187" s="133"/>
      <c r="I187" s="128"/>
      <c r="J187" s="128"/>
      <c r="M187" s="130"/>
      <c r="Q187" s="133"/>
      <c r="R187" s="134"/>
      <c r="S187" s="130"/>
      <c r="T187" s="14"/>
      <c r="U187" s="14"/>
      <c r="V187" s="14"/>
      <c r="W187" s="14"/>
      <c r="X187" s="14"/>
      <c r="Y187" s="14"/>
      <c r="Z187" s="14"/>
      <c r="AA187" s="14"/>
    </row>
    <row r="188" spans="1:27" s="60" customFormat="1">
      <c r="A188" s="32"/>
      <c r="B188" s="13"/>
      <c r="C188" s="14"/>
      <c r="H188" s="133"/>
      <c r="I188" s="128"/>
      <c r="J188" s="128"/>
      <c r="M188" s="130"/>
      <c r="Q188" s="133"/>
      <c r="R188" s="134"/>
      <c r="S188" s="130"/>
      <c r="T188" s="14"/>
      <c r="U188" s="14"/>
      <c r="V188" s="14"/>
      <c r="W188" s="14"/>
      <c r="X188" s="14"/>
      <c r="Y188" s="14"/>
      <c r="Z188" s="14"/>
      <c r="AA188" s="14"/>
    </row>
    <row r="189" spans="1:27" s="60" customFormat="1">
      <c r="A189" s="32"/>
      <c r="B189" s="13"/>
      <c r="C189" s="14"/>
      <c r="H189" s="133"/>
      <c r="I189" s="128"/>
      <c r="J189" s="128"/>
      <c r="M189" s="130"/>
      <c r="Q189" s="133"/>
      <c r="R189" s="134"/>
      <c r="S189" s="130"/>
      <c r="T189" s="14"/>
      <c r="U189" s="14"/>
      <c r="V189" s="14"/>
      <c r="W189" s="14"/>
      <c r="X189" s="14"/>
      <c r="Y189" s="14"/>
      <c r="Z189" s="14"/>
      <c r="AA189" s="14"/>
    </row>
    <row r="190" spans="1:27" s="60" customFormat="1">
      <c r="A190" s="32"/>
      <c r="B190" s="13"/>
      <c r="C190" s="14"/>
      <c r="H190" s="133"/>
      <c r="I190" s="128"/>
      <c r="J190" s="128"/>
      <c r="M190" s="130"/>
      <c r="Q190" s="133"/>
      <c r="R190" s="134"/>
      <c r="S190" s="130"/>
      <c r="T190" s="14"/>
      <c r="U190" s="14"/>
      <c r="V190" s="14"/>
      <c r="W190" s="14"/>
      <c r="X190" s="14"/>
      <c r="Y190" s="14"/>
      <c r="Z190" s="14"/>
      <c r="AA190" s="14"/>
    </row>
    <row r="191" spans="1:27" s="60" customFormat="1">
      <c r="A191" s="32"/>
      <c r="B191" s="13"/>
      <c r="C191" s="14"/>
      <c r="H191" s="133"/>
      <c r="I191" s="128"/>
      <c r="J191" s="128"/>
      <c r="M191" s="130"/>
      <c r="Q191" s="133"/>
      <c r="R191" s="134"/>
      <c r="S191" s="130"/>
      <c r="T191" s="14"/>
      <c r="U191" s="14"/>
      <c r="V191" s="14"/>
      <c r="W191" s="14"/>
      <c r="X191" s="14"/>
      <c r="Y191" s="14"/>
      <c r="Z191" s="14"/>
      <c r="AA191" s="14"/>
    </row>
    <row r="192" spans="1:27" s="60" customFormat="1">
      <c r="A192" s="32"/>
      <c r="B192" s="13"/>
      <c r="C192" s="14"/>
      <c r="H192" s="133"/>
      <c r="I192" s="128"/>
      <c r="J192" s="128"/>
      <c r="M192" s="130"/>
      <c r="Q192" s="133"/>
      <c r="R192" s="134"/>
      <c r="S192" s="130"/>
      <c r="T192" s="14"/>
      <c r="U192" s="14"/>
      <c r="V192" s="14"/>
      <c r="W192" s="14"/>
      <c r="X192" s="14"/>
      <c r="Y192" s="14"/>
      <c r="Z192" s="14"/>
      <c r="AA192" s="14"/>
    </row>
    <row r="193" spans="1:27" s="60" customFormat="1">
      <c r="A193" s="32"/>
      <c r="B193" s="13"/>
      <c r="C193" s="14"/>
      <c r="H193" s="133"/>
      <c r="I193" s="128"/>
      <c r="J193" s="128"/>
      <c r="M193" s="130"/>
      <c r="Q193" s="133"/>
      <c r="R193" s="134"/>
      <c r="S193" s="130"/>
      <c r="T193" s="14"/>
      <c r="U193" s="14"/>
      <c r="V193" s="14"/>
      <c r="W193" s="14"/>
      <c r="X193" s="14"/>
      <c r="Y193" s="14"/>
      <c r="Z193" s="14"/>
      <c r="AA193" s="14"/>
    </row>
    <row r="194" spans="1:27" s="60" customFormat="1">
      <c r="A194" s="32"/>
      <c r="B194" s="13"/>
      <c r="C194" s="14"/>
      <c r="H194" s="133"/>
      <c r="I194" s="128"/>
      <c r="J194" s="128"/>
      <c r="M194" s="130"/>
      <c r="Q194" s="133"/>
      <c r="R194" s="134"/>
      <c r="S194" s="130"/>
      <c r="T194" s="14"/>
      <c r="U194" s="14"/>
      <c r="V194" s="14"/>
      <c r="W194" s="14"/>
      <c r="X194" s="14"/>
      <c r="Y194" s="14"/>
      <c r="Z194" s="14"/>
      <c r="AA194" s="14"/>
    </row>
    <row r="195" spans="1:27" s="60" customFormat="1">
      <c r="A195" s="32"/>
      <c r="B195" s="13"/>
      <c r="C195" s="14"/>
      <c r="H195" s="133"/>
      <c r="I195" s="128"/>
      <c r="J195" s="128"/>
      <c r="M195" s="130"/>
      <c r="Q195" s="133"/>
      <c r="R195" s="134"/>
      <c r="S195" s="130"/>
      <c r="T195" s="14"/>
      <c r="U195" s="14"/>
      <c r="V195" s="14"/>
      <c r="W195" s="14"/>
      <c r="X195" s="14"/>
      <c r="Y195" s="14"/>
      <c r="Z195" s="14"/>
      <c r="AA195" s="14"/>
    </row>
    <row r="196" spans="1:27" s="60" customFormat="1">
      <c r="A196" s="32"/>
      <c r="B196" s="13"/>
      <c r="C196" s="14"/>
      <c r="H196" s="133"/>
      <c r="I196" s="128"/>
      <c r="J196" s="128"/>
      <c r="M196" s="130"/>
      <c r="Q196" s="133"/>
      <c r="R196" s="134"/>
      <c r="S196" s="130"/>
      <c r="T196" s="14"/>
      <c r="U196" s="14"/>
      <c r="V196" s="14"/>
      <c r="W196" s="14"/>
      <c r="X196" s="14"/>
      <c r="Y196" s="14"/>
      <c r="Z196" s="14"/>
      <c r="AA196" s="14"/>
    </row>
    <row r="197" spans="1:27" s="60" customFormat="1">
      <c r="A197" s="32"/>
      <c r="B197" s="13"/>
      <c r="C197" s="14"/>
      <c r="H197" s="133"/>
      <c r="I197" s="128"/>
      <c r="J197" s="128"/>
      <c r="M197" s="130"/>
      <c r="Q197" s="133"/>
      <c r="R197" s="134"/>
      <c r="S197" s="130"/>
      <c r="T197" s="14"/>
      <c r="U197" s="14"/>
      <c r="V197" s="14"/>
      <c r="W197" s="14"/>
      <c r="X197" s="14"/>
      <c r="Y197" s="14"/>
      <c r="Z197" s="14"/>
      <c r="AA197" s="14"/>
    </row>
    <row r="198" spans="1:27" s="60" customFormat="1">
      <c r="A198" s="32"/>
      <c r="B198" s="13"/>
      <c r="C198" s="14"/>
      <c r="H198" s="133"/>
      <c r="I198" s="128"/>
      <c r="J198" s="128"/>
      <c r="M198" s="130"/>
      <c r="Q198" s="133"/>
      <c r="R198" s="134"/>
      <c r="S198" s="130"/>
      <c r="T198" s="14"/>
      <c r="U198" s="14"/>
      <c r="V198" s="14"/>
      <c r="W198" s="14"/>
      <c r="X198" s="14"/>
      <c r="Y198" s="14"/>
      <c r="Z198" s="14"/>
      <c r="AA198" s="14"/>
    </row>
    <row r="199" spans="1:27" s="60" customFormat="1">
      <c r="A199" s="32"/>
      <c r="B199" s="13"/>
      <c r="C199" s="14"/>
      <c r="H199" s="133"/>
      <c r="I199" s="128"/>
      <c r="J199" s="128"/>
      <c r="M199" s="130"/>
      <c r="Q199" s="133"/>
      <c r="R199" s="134"/>
      <c r="S199" s="130"/>
      <c r="T199" s="14"/>
      <c r="U199" s="14"/>
      <c r="V199" s="14"/>
      <c r="W199" s="14"/>
      <c r="X199" s="14"/>
      <c r="Y199" s="14"/>
      <c r="Z199" s="14"/>
      <c r="AA199" s="14"/>
    </row>
    <row r="200" spans="1:27" s="60" customFormat="1">
      <c r="A200" s="32"/>
      <c r="B200" s="13"/>
      <c r="C200" s="14"/>
      <c r="H200" s="133"/>
      <c r="I200" s="128"/>
      <c r="J200" s="128"/>
      <c r="M200" s="130"/>
      <c r="Q200" s="133"/>
      <c r="R200" s="134"/>
      <c r="S200" s="130"/>
      <c r="T200" s="14"/>
      <c r="U200" s="14"/>
      <c r="V200" s="14"/>
      <c r="W200" s="14"/>
      <c r="X200" s="14"/>
      <c r="Y200" s="14"/>
      <c r="Z200" s="14"/>
      <c r="AA200" s="14"/>
    </row>
    <row r="201" spans="1:27" s="60" customFormat="1">
      <c r="A201" s="32"/>
      <c r="B201" s="13"/>
      <c r="C201" s="14"/>
      <c r="H201" s="133"/>
      <c r="I201" s="128"/>
      <c r="J201" s="128"/>
      <c r="M201" s="130"/>
      <c r="Q201" s="133"/>
      <c r="R201" s="134"/>
      <c r="S201" s="130"/>
      <c r="T201" s="14"/>
      <c r="U201" s="14"/>
      <c r="V201" s="14"/>
      <c r="W201" s="14"/>
      <c r="X201" s="14"/>
      <c r="Y201" s="14"/>
      <c r="Z201" s="14"/>
      <c r="AA201" s="14"/>
    </row>
    <row r="202" spans="1:27" s="60" customFormat="1">
      <c r="A202" s="32"/>
      <c r="B202" s="13"/>
      <c r="C202" s="14"/>
      <c r="H202" s="133"/>
      <c r="I202" s="128"/>
      <c r="J202" s="128"/>
      <c r="M202" s="130"/>
      <c r="Q202" s="133"/>
      <c r="R202" s="134"/>
      <c r="S202" s="130"/>
      <c r="T202" s="14"/>
      <c r="U202" s="14"/>
      <c r="V202" s="14"/>
      <c r="W202" s="14"/>
      <c r="X202" s="14"/>
      <c r="Y202" s="14"/>
      <c r="Z202" s="14"/>
      <c r="AA202" s="14"/>
    </row>
    <row r="203" spans="1:27" s="60" customFormat="1">
      <c r="A203" s="32"/>
      <c r="B203" s="13"/>
      <c r="C203" s="14"/>
      <c r="H203" s="133"/>
      <c r="I203" s="128"/>
      <c r="J203" s="128"/>
      <c r="M203" s="130"/>
      <c r="Q203" s="133"/>
      <c r="R203" s="134"/>
      <c r="S203" s="130"/>
      <c r="T203" s="14"/>
      <c r="U203" s="14"/>
      <c r="V203" s="14"/>
      <c r="W203" s="14"/>
      <c r="X203" s="14"/>
      <c r="Y203" s="14"/>
      <c r="Z203" s="14"/>
      <c r="AA203" s="14"/>
    </row>
    <row r="204" spans="1:27" s="60" customFormat="1">
      <c r="A204" s="32"/>
      <c r="B204" s="13"/>
      <c r="C204" s="14"/>
      <c r="H204" s="133"/>
      <c r="I204" s="128"/>
      <c r="J204" s="128"/>
      <c r="M204" s="130"/>
      <c r="Q204" s="133"/>
      <c r="R204" s="134"/>
      <c r="S204" s="130"/>
      <c r="T204" s="14"/>
      <c r="U204" s="14"/>
      <c r="V204" s="14"/>
      <c r="W204" s="14"/>
      <c r="X204" s="14"/>
      <c r="Y204" s="14"/>
      <c r="Z204" s="14"/>
      <c r="AA204" s="14"/>
    </row>
    <row r="205" spans="1:27" s="60" customFormat="1">
      <c r="A205" s="32"/>
      <c r="B205" s="13"/>
      <c r="C205" s="14"/>
      <c r="H205" s="133"/>
      <c r="I205" s="128"/>
      <c r="J205" s="128"/>
      <c r="M205" s="130"/>
      <c r="Q205" s="133"/>
      <c r="R205" s="134"/>
      <c r="S205" s="130"/>
      <c r="T205" s="14"/>
      <c r="U205" s="14"/>
      <c r="V205" s="14"/>
      <c r="W205" s="14"/>
      <c r="X205" s="14"/>
      <c r="Y205" s="14"/>
      <c r="Z205" s="14"/>
      <c r="AA205" s="14"/>
    </row>
    <row r="206" spans="1:27" s="60" customFormat="1">
      <c r="A206" s="32"/>
      <c r="B206" s="13"/>
      <c r="C206" s="14"/>
      <c r="H206" s="133"/>
      <c r="I206" s="128"/>
      <c r="J206" s="128"/>
      <c r="M206" s="130"/>
      <c r="Q206" s="133"/>
      <c r="R206" s="134"/>
      <c r="S206" s="130"/>
      <c r="T206" s="14"/>
      <c r="U206" s="14"/>
      <c r="V206" s="14"/>
      <c r="W206" s="14"/>
      <c r="X206" s="14"/>
      <c r="Y206" s="14"/>
      <c r="Z206" s="14"/>
      <c r="AA206" s="14"/>
    </row>
    <row r="207" spans="1:27" s="60" customFormat="1">
      <c r="A207" s="32"/>
      <c r="B207" s="13"/>
      <c r="C207" s="14"/>
      <c r="H207" s="133"/>
      <c r="I207" s="128"/>
      <c r="J207" s="128"/>
      <c r="M207" s="130"/>
      <c r="Q207" s="133"/>
      <c r="R207" s="134"/>
      <c r="S207" s="130"/>
      <c r="T207" s="14"/>
      <c r="U207" s="14"/>
      <c r="V207" s="14"/>
      <c r="W207" s="14"/>
      <c r="X207" s="14"/>
      <c r="Y207" s="14"/>
      <c r="Z207" s="14"/>
      <c r="AA207" s="14"/>
    </row>
    <row r="208" spans="1:27" s="60" customFormat="1">
      <c r="A208" s="32"/>
      <c r="B208" s="13"/>
      <c r="C208" s="14"/>
      <c r="H208" s="133"/>
      <c r="I208" s="128"/>
      <c r="J208" s="128"/>
      <c r="M208" s="130"/>
      <c r="Q208" s="133"/>
      <c r="R208" s="134"/>
      <c r="S208" s="130"/>
      <c r="T208" s="14"/>
      <c r="U208" s="14"/>
      <c r="V208" s="14"/>
      <c r="W208" s="14"/>
      <c r="X208" s="14"/>
      <c r="Y208" s="14"/>
      <c r="Z208" s="14"/>
      <c r="AA208" s="14"/>
    </row>
    <row r="209" spans="1:27" s="60" customFormat="1">
      <c r="A209" s="32"/>
      <c r="B209" s="13"/>
      <c r="C209" s="14"/>
      <c r="H209" s="133"/>
      <c r="I209" s="128"/>
      <c r="J209" s="128"/>
      <c r="M209" s="130"/>
      <c r="Q209" s="133"/>
      <c r="R209" s="134"/>
      <c r="S209" s="130"/>
      <c r="T209" s="14"/>
      <c r="U209" s="14"/>
      <c r="V209" s="14"/>
      <c r="W209" s="14"/>
      <c r="X209" s="14"/>
      <c r="Y209" s="14"/>
      <c r="Z209" s="14"/>
      <c r="AA209" s="14"/>
    </row>
    <row r="210" spans="1:27" s="60" customFormat="1">
      <c r="A210" s="32"/>
      <c r="B210" s="13"/>
      <c r="C210" s="14"/>
      <c r="H210" s="133"/>
      <c r="I210" s="128"/>
      <c r="J210" s="128"/>
      <c r="M210" s="130"/>
      <c r="Q210" s="133"/>
      <c r="R210" s="134"/>
      <c r="S210" s="130"/>
      <c r="T210" s="14"/>
      <c r="U210" s="14"/>
      <c r="V210" s="14"/>
      <c r="W210" s="14"/>
      <c r="X210" s="14"/>
      <c r="Y210" s="14"/>
      <c r="Z210" s="14"/>
      <c r="AA210" s="14"/>
    </row>
    <row r="211" spans="1:27" s="60" customFormat="1">
      <c r="A211" s="32"/>
      <c r="B211" s="13"/>
      <c r="C211" s="14"/>
      <c r="H211" s="133"/>
      <c r="I211" s="128"/>
      <c r="J211" s="128"/>
      <c r="M211" s="130"/>
      <c r="Q211" s="133"/>
      <c r="R211" s="134"/>
      <c r="S211" s="130"/>
      <c r="T211" s="14"/>
      <c r="U211" s="14"/>
      <c r="V211" s="14"/>
      <c r="W211" s="14"/>
      <c r="X211" s="14"/>
      <c r="Y211" s="14"/>
      <c r="Z211" s="14"/>
      <c r="AA211" s="14"/>
    </row>
    <row r="212" spans="1:27" s="60" customFormat="1">
      <c r="A212" s="32"/>
      <c r="B212" s="13"/>
      <c r="C212" s="14"/>
      <c r="H212" s="133"/>
      <c r="I212" s="128"/>
      <c r="J212" s="128"/>
      <c r="M212" s="130"/>
      <c r="Q212" s="133"/>
      <c r="R212" s="134"/>
      <c r="S212" s="130"/>
      <c r="T212" s="14"/>
      <c r="U212" s="14"/>
      <c r="V212" s="14"/>
      <c r="W212" s="14"/>
      <c r="X212" s="14"/>
      <c r="Y212" s="14"/>
      <c r="Z212" s="14"/>
      <c r="AA212" s="14"/>
    </row>
    <row r="213" spans="1:27" s="60" customFormat="1">
      <c r="A213" s="32"/>
      <c r="B213" s="13"/>
      <c r="C213" s="14"/>
      <c r="H213" s="133"/>
      <c r="I213" s="128"/>
      <c r="J213" s="128"/>
      <c r="M213" s="130"/>
      <c r="Q213" s="133"/>
      <c r="R213" s="134"/>
      <c r="S213" s="130"/>
      <c r="T213" s="14"/>
      <c r="U213" s="14"/>
      <c r="V213" s="14"/>
      <c r="W213" s="14"/>
      <c r="X213" s="14"/>
      <c r="Y213" s="14"/>
      <c r="Z213" s="14"/>
      <c r="AA213" s="14"/>
    </row>
    <row r="214" spans="1:27" s="60" customFormat="1">
      <c r="A214" s="32"/>
      <c r="B214" s="13"/>
      <c r="C214" s="14"/>
      <c r="H214" s="133"/>
      <c r="I214" s="128"/>
      <c r="J214" s="128"/>
      <c r="M214" s="130"/>
      <c r="Q214" s="133"/>
      <c r="R214" s="134"/>
      <c r="S214" s="130"/>
      <c r="T214" s="14"/>
      <c r="U214" s="14"/>
      <c r="V214" s="14"/>
      <c r="W214" s="14"/>
      <c r="X214" s="14"/>
      <c r="Y214" s="14"/>
      <c r="Z214" s="14"/>
      <c r="AA214" s="14"/>
    </row>
    <row r="215" spans="1:27" s="60" customFormat="1">
      <c r="A215" s="32"/>
      <c r="B215" s="13"/>
      <c r="C215" s="14"/>
      <c r="H215" s="133"/>
      <c r="I215" s="128"/>
      <c r="J215" s="128"/>
      <c r="M215" s="130"/>
      <c r="Q215" s="133"/>
      <c r="R215" s="134"/>
      <c r="S215" s="130"/>
      <c r="T215" s="14"/>
      <c r="U215" s="14"/>
      <c r="V215" s="14"/>
      <c r="W215" s="14"/>
      <c r="X215" s="14"/>
      <c r="Y215" s="14"/>
      <c r="Z215" s="14"/>
      <c r="AA215" s="14"/>
    </row>
    <row r="216" spans="1:27" s="60" customFormat="1">
      <c r="A216" s="32"/>
      <c r="B216" s="13"/>
      <c r="C216" s="14"/>
      <c r="H216" s="133"/>
      <c r="I216" s="128"/>
      <c r="J216" s="128"/>
      <c r="M216" s="130"/>
      <c r="Q216" s="133"/>
      <c r="R216" s="134"/>
      <c r="S216" s="130"/>
      <c r="T216" s="14"/>
      <c r="U216" s="14"/>
      <c r="V216" s="14"/>
      <c r="W216" s="14"/>
      <c r="X216" s="14"/>
      <c r="Y216" s="14"/>
      <c r="Z216" s="14"/>
      <c r="AA216" s="14"/>
    </row>
    <row r="217" spans="1:27" s="60" customFormat="1">
      <c r="A217" s="32"/>
      <c r="B217" s="13"/>
      <c r="C217" s="14"/>
      <c r="H217" s="133"/>
      <c r="I217" s="128"/>
      <c r="J217" s="128"/>
      <c r="M217" s="130"/>
      <c r="Q217" s="133"/>
      <c r="R217" s="134"/>
      <c r="S217" s="130"/>
      <c r="T217" s="14"/>
      <c r="U217" s="14"/>
      <c r="V217" s="14"/>
      <c r="W217" s="14"/>
      <c r="X217" s="14"/>
      <c r="Y217" s="14"/>
      <c r="Z217" s="14"/>
      <c r="AA217" s="14"/>
    </row>
    <row r="218" spans="1:27" s="60" customFormat="1">
      <c r="A218" s="32"/>
      <c r="B218" s="13"/>
      <c r="C218" s="14"/>
      <c r="H218" s="133"/>
      <c r="I218" s="128"/>
      <c r="J218" s="128"/>
      <c r="M218" s="130"/>
      <c r="Q218" s="133"/>
      <c r="R218" s="134"/>
      <c r="S218" s="130"/>
      <c r="T218" s="14"/>
      <c r="U218" s="14"/>
      <c r="V218" s="14"/>
      <c r="W218" s="14"/>
      <c r="X218" s="14"/>
      <c r="Y218" s="14"/>
      <c r="Z218" s="14"/>
      <c r="AA218" s="14"/>
    </row>
    <row r="219" spans="1:27" s="60" customFormat="1">
      <c r="A219" s="32"/>
      <c r="B219" s="13"/>
      <c r="C219" s="14"/>
      <c r="H219" s="133"/>
      <c r="I219" s="128"/>
      <c r="J219" s="128"/>
      <c r="M219" s="130"/>
      <c r="Q219" s="133"/>
      <c r="R219" s="134"/>
      <c r="S219" s="130"/>
      <c r="T219" s="14"/>
      <c r="U219" s="14"/>
      <c r="V219" s="14"/>
      <c r="W219" s="14"/>
      <c r="X219" s="14"/>
      <c r="Y219" s="14"/>
      <c r="Z219" s="14"/>
      <c r="AA219" s="14"/>
    </row>
    <row r="220" spans="1:27" s="60" customFormat="1">
      <c r="A220" s="32"/>
      <c r="B220" s="13"/>
      <c r="C220" s="14"/>
      <c r="H220" s="133"/>
      <c r="I220" s="128"/>
      <c r="J220" s="128"/>
      <c r="M220" s="130"/>
      <c r="Q220" s="133"/>
      <c r="R220" s="134"/>
      <c r="S220" s="130"/>
      <c r="T220" s="14"/>
      <c r="U220" s="14"/>
      <c r="V220" s="14"/>
      <c r="W220" s="14"/>
      <c r="X220" s="14"/>
      <c r="Y220" s="14"/>
      <c r="Z220" s="14"/>
      <c r="AA220" s="14"/>
    </row>
    <row r="221" spans="1:27" s="60" customFormat="1">
      <c r="A221" s="32"/>
      <c r="B221" s="13"/>
      <c r="C221" s="14"/>
      <c r="H221" s="133"/>
      <c r="I221" s="128"/>
      <c r="J221" s="128"/>
      <c r="M221" s="130"/>
      <c r="Q221" s="133"/>
      <c r="R221" s="134"/>
      <c r="S221" s="130"/>
      <c r="T221" s="14"/>
      <c r="U221" s="14"/>
      <c r="V221" s="14"/>
      <c r="W221" s="14"/>
      <c r="X221" s="14"/>
      <c r="Y221" s="14"/>
      <c r="Z221" s="14"/>
      <c r="AA221" s="14"/>
    </row>
    <row r="222" spans="1:27" s="60" customFormat="1">
      <c r="A222" s="32"/>
      <c r="B222" s="13"/>
      <c r="C222" s="14"/>
      <c r="H222" s="133"/>
      <c r="I222" s="128"/>
      <c r="J222" s="128"/>
      <c r="M222" s="130"/>
      <c r="Q222" s="133"/>
      <c r="R222" s="134"/>
      <c r="S222" s="130"/>
      <c r="T222" s="14"/>
      <c r="U222" s="14"/>
      <c r="V222" s="14"/>
      <c r="W222" s="14"/>
      <c r="X222" s="14"/>
      <c r="Y222" s="14"/>
      <c r="Z222" s="14"/>
      <c r="AA222" s="14"/>
    </row>
    <row r="223" spans="1:27" s="60" customFormat="1">
      <c r="A223" s="32"/>
      <c r="B223" s="13"/>
      <c r="C223" s="14"/>
      <c r="H223" s="133"/>
      <c r="I223" s="128"/>
      <c r="J223" s="128"/>
      <c r="M223" s="130"/>
      <c r="Q223" s="133"/>
      <c r="R223" s="134"/>
      <c r="S223" s="130"/>
      <c r="T223" s="14"/>
      <c r="U223" s="14"/>
      <c r="V223" s="14"/>
      <c r="W223" s="14"/>
      <c r="X223" s="14"/>
      <c r="Y223" s="14"/>
      <c r="Z223" s="14"/>
      <c r="AA223" s="14"/>
    </row>
    <row r="224" spans="1:27" s="60" customFormat="1">
      <c r="A224" s="32"/>
      <c r="B224" s="13"/>
      <c r="C224" s="14"/>
      <c r="H224" s="133"/>
      <c r="I224" s="128"/>
      <c r="J224" s="128"/>
      <c r="M224" s="130"/>
      <c r="Q224" s="133"/>
      <c r="R224" s="134"/>
      <c r="S224" s="130"/>
      <c r="T224" s="14"/>
      <c r="U224" s="14"/>
      <c r="V224" s="14"/>
      <c r="W224" s="14"/>
      <c r="X224" s="14"/>
      <c r="Y224" s="14"/>
      <c r="Z224" s="14"/>
      <c r="AA224" s="14"/>
    </row>
    <row r="225" spans="1:27" s="60" customFormat="1">
      <c r="A225" s="32"/>
      <c r="B225" s="13"/>
      <c r="C225" s="14"/>
      <c r="H225" s="133"/>
      <c r="I225" s="128"/>
      <c r="J225" s="128"/>
      <c r="M225" s="130"/>
      <c r="Q225" s="133"/>
      <c r="R225" s="134"/>
      <c r="S225" s="130"/>
      <c r="T225" s="14"/>
      <c r="U225" s="14"/>
      <c r="V225" s="14"/>
      <c r="W225" s="14"/>
      <c r="X225" s="14"/>
      <c r="Y225" s="14"/>
      <c r="Z225" s="14"/>
      <c r="AA225" s="14"/>
    </row>
    <row r="226" spans="1:27" s="60" customFormat="1">
      <c r="A226" s="32"/>
      <c r="B226" s="13"/>
      <c r="C226" s="14"/>
      <c r="H226" s="133"/>
      <c r="I226" s="128"/>
      <c r="J226" s="128"/>
      <c r="M226" s="130"/>
      <c r="Q226" s="133"/>
      <c r="R226" s="134"/>
      <c r="S226" s="130"/>
      <c r="T226" s="14"/>
      <c r="U226" s="14"/>
      <c r="V226" s="14"/>
      <c r="W226" s="14"/>
      <c r="X226" s="14"/>
      <c r="Y226" s="14"/>
      <c r="Z226" s="14"/>
      <c r="AA226" s="14"/>
    </row>
    <row r="227" spans="1:27" s="60" customFormat="1">
      <c r="A227" s="32"/>
      <c r="B227" s="13"/>
      <c r="C227" s="14"/>
      <c r="H227" s="133"/>
      <c r="I227" s="128"/>
      <c r="J227" s="128"/>
      <c r="M227" s="130"/>
      <c r="Q227" s="133"/>
      <c r="R227" s="134"/>
      <c r="S227" s="130"/>
      <c r="T227" s="14"/>
      <c r="U227" s="14"/>
      <c r="V227" s="14"/>
      <c r="W227" s="14"/>
      <c r="X227" s="14"/>
      <c r="Y227" s="14"/>
      <c r="Z227" s="14"/>
      <c r="AA227" s="14"/>
    </row>
    <row r="228" spans="1:27" s="60" customFormat="1">
      <c r="A228" s="32"/>
      <c r="B228" s="13"/>
      <c r="C228" s="14"/>
      <c r="H228" s="133"/>
      <c r="I228" s="128"/>
      <c r="J228" s="128"/>
      <c r="M228" s="130"/>
      <c r="Q228" s="133"/>
      <c r="R228" s="134"/>
      <c r="S228" s="130"/>
      <c r="T228" s="14"/>
      <c r="U228" s="14"/>
      <c r="V228" s="14"/>
      <c r="W228" s="14"/>
      <c r="X228" s="14"/>
      <c r="Y228" s="14"/>
      <c r="Z228" s="14"/>
      <c r="AA228" s="14"/>
    </row>
    <row r="229" spans="1:27" s="60" customFormat="1">
      <c r="A229" s="32"/>
      <c r="B229" s="13"/>
      <c r="C229" s="14"/>
      <c r="H229" s="133"/>
      <c r="I229" s="128"/>
      <c r="J229" s="128"/>
      <c r="M229" s="130"/>
      <c r="Q229" s="133"/>
      <c r="R229" s="134"/>
      <c r="S229" s="130"/>
      <c r="T229" s="14"/>
      <c r="U229" s="14"/>
      <c r="V229" s="14"/>
      <c r="W229" s="14"/>
      <c r="X229" s="14"/>
      <c r="Y229" s="14"/>
      <c r="Z229" s="14"/>
      <c r="AA229" s="14"/>
    </row>
    <row r="230" spans="1:27" s="60" customFormat="1">
      <c r="A230" s="32"/>
      <c r="B230" s="13"/>
      <c r="C230" s="14"/>
      <c r="H230" s="133"/>
      <c r="I230" s="128"/>
      <c r="J230" s="128"/>
      <c r="M230" s="130"/>
      <c r="Q230" s="133"/>
      <c r="R230" s="134"/>
      <c r="S230" s="130"/>
      <c r="T230" s="14"/>
      <c r="U230" s="14"/>
      <c r="V230" s="14"/>
      <c r="W230" s="14"/>
      <c r="X230" s="14"/>
      <c r="Y230" s="14"/>
      <c r="Z230" s="14"/>
      <c r="AA230" s="14"/>
    </row>
    <row r="231" spans="1:27" s="60" customFormat="1">
      <c r="A231" s="32"/>
      <c r="B231" s="13"/>
      <c r="C231" s="14"/>
      <c r="H231" s="133"/>
      <c r="I231" s="128"/>
      <c r="J231" s="128"/>
      <c r="M231" s="130"/>
      <c r="Q231" s="133"/>
      <c r="R231" s="134"/>
      <c r="S231" s="130"/>
      <c r="T231" s="14"/>
      <c r="U231" s="14"/>
      <c r="V231" s="14"/>
      <c r="W231" s="14"/>
      <c r="X231" s="14"/>
      <c r="Y231" s="14"/>
      <c r="Z231" s="14"/>
      <c r="AA231" s="14"/>
    </row>
    <row r="232" spans="1:27" s="60" customFormat="1">
      <c r="A232" s="32"/>
      <c r="B232" s="13"/>
      <c r="C232" s="14"/>
      <c r="H232" s="133"/>
      <c r="I232" s="128"/>
      <c r="J232" s="128"/>
      <c r="M232" s="130"/>
      <c r="Q232" s="133"/>
      <c r="R232" s="134"/>
      <c r="S232" s="130"/>
      <c r="T232" s="14"/>
      <c r="U232" s="14"/>
      <c r="V232" s="14"/>
      <c r="W232" s="14"/>
      <c r="X232" s="14"/>
      <c r="Y232" s="14"/>
      <c r="Z232" s="14"/>
      <c r="AA232" s="14"/>
    </row>
    <row r="233" spans="1:27" s="60" customFormat="1">
      <c r="A233" s="32"/>
      <c r="B233" s="13"/>
      <c r="C233" s="14"/>
      <c r="H233" s="133"/>
      <c r="I233" s="128"/>
      <c r="J233" s="128"/>
      <c r="M233" s="130"/>
      <c r="Q233" s="133"/>
      <c r="R233" s="134"/>
      <c r="S233" s="130"/>
      <c r="T233" s="14"/>
      <c r="U233" s="14"/>
      <c r="V233" s="14"/>
      <c r="W233" s="14"/>
      <c r="X233" s="14"/>
      <c r="Y233" s="14"/>
      <c r="Z233" s="14"/>
      <c r="AA233" s="14"/>
    </row>
    <row r="234" spans="1:27" s="60" customFormat="1">
      <c r="A234" s="32"/>
      <c r="B234" s="13"/>
      <c r="C234" s="14"/>
      <c r="H234" s="133"/>
      <c r="I234" s="128"/>
      <c r="J234" s="128"/>
      <c r="M234" s="130"/>
      <c r="Q234" s="133"/>
      <c r="R234" s="134"/>
      <c r="S234" s="130"/>
      <c r="T234" s="14"/>
      <c r="U234" s="14"/>
      <c r="V234" s="14"/>
      <c r="W234" s="14"/>
      <c r="X234" s="14"/>
      <c r="Y234" s="14"/>
      <c r="Z234" s="14"/>
      <c r="AA234" s="14"/>
    </row>
    <row r="235" spans="1:27" s="60" customFormat="1">
      <c r="A235" s="32"/>
      <c r="B235" s="13"/>
      <c r="C235" s="14"/>
      <c r="H235" s="133"/>
      <c r="I235" s="128"/>
      <c r="J235" s="128"/>
      <c r="M235" s="130"/>
      <c r="Q235" s="133"/>
      <c r="R235" s="134"/>
      <c r="S235" s="130"/>
      <c r="T235" s="14"/>
      <c r="U235" s="14"/>
      <c r="V235" s="14"/>
      <c r="W235" s="14"/>
      <c r="X235" s="14"/>
      <c r="Y235" s="14"/>
      <c r="Z235" s="14"/>
      <c r="AA235" s="14"/>
    </row>
    <row r="236" spans="1:27" s="60" customFormat="1">
      <c r="A236" s="32"/>
      <c r="B236" s="13"/>
      <c r="C236" s="14"/>
      <c r="H236" s="133"/>
      <c r="I236" s="128"/>
      <c r="J236" s="128"/>
      <c r="M236" s="130"/>
      <c r="Q236" s="133"/>
      <c r="R236" s="134"/>
      <c r="S236" s="130"/>
      <c r="T236" s="14"/>
      <c r="U236" s="14"/>
      <c r="V236" s="14"/>
      <c r="W236" s="14"/>
      <c r="X236" s="14"/>
      <c r="Y236" s="14"/>
      <c r="Z236" s="14"/>
      <c r="AA236" s="14"/>
    </row>
    <row r="237" spans="1:27" s="60" customFormat="1">
      <c r="A237" s="32"/>
      <c r="B237" s="13"/>
      <c r="C237" s="14"/>
      <c r="H237" s="133"/>
      <c r="I237" s="128"/>
      <c r="J237" s="128"/>
      <c r="M237" s="130"/>
      <c r="Q237" s="133"/>
      <c r="R237" s="134"/>
      <c r="S237" s="130"/>
      <c r="T237" s="14"/>
      <c r="U237" s="14"/>
      <c r="V237" s="14"/>
      <c r="W237" s="14"/>
      <c r="X237" s="14"/>
      <c r="Y237" s="14"/>
      <c r="Z237" s="14"/>
      <c r="AA237" s="14"/>
    </row>
    <row r="238" spans="1:27" s="60" customFormat="1">
      <c r="A238" s="32"/>
      <c r="B238" s="13"/>
      <c r="C238" s="14"/>
      <c r="H238" s="133"/>
      <c r="I238" s="128"/>
      <c r="J238" s="128"/>
      <c r="M238" s="130"/>
      <c r="Q238" s="133"/>
      <c r="R238" s="134"/>
      <c r="S238" s="130"/>
      <c r="T238" s="14"/>
      <c r="U238" s="14"/>
      <c r="V238" s="14"/>
      <c r="W238" s="14"/>
      <c r="X238" s="14"/>
      <c r="Y238" s="14"/>
      <c r="Z238" s="14"/>
      <c r="AA238" s="14"/>
    </row>
    <row r="239" spans="1:27" s="60" customFormat="1">
      <c r="A239" s="32"/>
      <c r="B239" s="13"/>
      <c r="C239" s="14"/>
      <c r="H239" s="133"/>
      <c r="I239" s="128"/>
      <c r="J239" s="128"/>
      <c r="M239" s="130"/>
      <c r="Q239" s="133"/>
      <c r="R239" s="134"/>
      <c r="S239" s="130"/>
      <c r="T239" s="14"/>
      <c r="U239" s="14"/>
      <c r="V239" s="14"/>
      <c r="W239" s="14"/>
      <c r="X239" s="14"/>
      <c r="Y239" s="14"/>
      <c r="Z239" s="14"/>
      <c r="AA239" s="14"/>
    </row>
    <row r="240" spans="1:27" s="60" customFormat="1">
      <c r="A240" s="32"/>
      <c r="B240" s="13"/>
      <c r="C240" s="14"/>
      <c r="H240" s="133"/>
      <c r="I240" s="128"/>
      <c r="J240" s="128"/>
      <c r="M240" s="130"/>
      <c r="Q240" s="133"/>
      <c r="R240" s="134"/>
      <c r="S240" s="130"/>
      <c r="T240" s="14"/>
      <c r="U240" s="14"/>
      <c r="V240" s="14"/>
      <c r="W240" s="14"/>
      <c r="X240" s="14"/>
      <c r="Y240" s="14"/>
      <c r="Z240" s="14"/>
      <c r="AA240" s="14"/>
    </row>
    <row r="241" spans="1:27" s="60" customFormat="1">
      <c r="A241" s="32"/>
      <c r="B241" s="13"/>
      <c r="C241" s="14"/>
      <c r="H241" s="133"/>
      <c r="I241" s="128"/>
      <c r="J241" s="128"/>
      <c r="M241" s="130"/>
      <c r="Q241" s="133"/>
      <c r="R241" s="134"/>
      <c r="S241" s="130"/>
      <c r="T241" s="14"/>
      <c r="U241" s="14"/>
      <c r="V241" s="14"/>
      <c r="W241" s="14"/>
      <c r="X241" s="14"/>
      <c r="Y241" s="14"/>
      <c r="Z241" s="14"/>
      <c r="AA241" s="14"/>
    </row>
    <row r="242" spans="1:27" s="60" customFormat="1">
      <c r="A242" s="32"/>
      <c r="B242" s="13"/>
      <c r="C242" s="14"/>
      <c r="H242" s="133"/>
      <c r="I242" s="128"/>
      <c r="J242" s="128"/>
      <c r="M242" s="130"/>
      <c r="Q242" s="133"/>
      <c r="R242" s="134"/>
      <c r="S242" s="130"/>
      <c r="T242" s="14"/>
      <c r="U242" s="14"/>
      <c r="V242" s="14"/>
      <c r="W242" s="14"/>
      <c r="X242" s="14"/>
      <c r="Y242" s="14"/>
      <c r="Z242" s="14"/>
      <c r="AA242" s="14"/>
    </row>
    <row r="243" spans="1:27" s="60" customFormat="1">
      <c r="A243" s="32"/>
      <c r="B243" s="13"/>
      <c r="C243" s="14"/>
      <c r="H243" s="133"/>
      <c r="I243" s="128"/>
      <c r="J243" s="128"/>
      <c r="M243" s="130"/>
      <c r="Q243" s="133"/>
      <c r="R243" s="134"/>
      <c r="S243" s="130"/>
      <c r="T243" s="14"/>
      <c r="U243" s="14"/>
      <c r="V243" s="14"/>
      <c r="W243" s="14"/>
      <c r="X243" s="14"/>
      <c r="Y243" s="14"/>
      <c r="Z243" s="14"/>
      <c r="AA243" s="14"/>
    </row>
    <row r="244" spans="1:27" s="60" customFormat="1">
      <c r="A244" s="32"/>
      <c r="B244" s="13"/>
      <c r="C244" s="14"/>
      <c r="H244" s="133"/>
      <c r="I244" s="128"/>
      <c r="J244" s="128"/>
      <c r="M244" s="130"/>
      <c r="Q244" s="133"/>
      <c r="R244" s="134"/>
      <c r="S244" s="130"/>
      <c r="T244" s="14"/>
      <c r="U244" s="14"/>
      <c r="V244" s="14"/>
      <c r="W244" s="14"/>
      <c r="X244" s="14"/>
      <c r="Y244" s="14"/>
      <c r="Z244" s="14"/>
      <c r="AA244" s="14"/>
    </row>
    <row r="245" spans="1:27" s="60" customFormat="1">
      <c r="A245" s="32"/>
      <c r="B245" s="13"/>
      <c r="C245" s="14"/>
      <c r="H245" s="133"/>
      <c r="I245" s="128"/>
      <c r="J245" s="128"/>
      <c r="M245" s="130"/>
      <c r="Q245" s="133"/>
      <c r="R245" s="134"/>
      <c r="S245" s="130"/>
      <c r="T245" s="14"/>
      <c r="U245" s="14"/>
      <c r="V245" s="14"/>
      <c r="W245" s="14"/>
      <c r="X245" s="14"/>
      <c r="Y245" s="14"/>
      <c r="Z245" s="14"/>
      <c r="AA245" s="14"/>
    </row>
    <row r="246" spans="1:27" s="60" customFormat="1">
      <c r="A246" s="32"/>
      <c r="B246" s="13"/>
      <c r="C246" s="14"/>
      <c r="H246" s="133"/>
      <c r="I246" s="128"/>
      <c r="J246" s="128"/>
      <c r="M246" s="130"/>
      <c r="Q246" s="133"/>
      <c r="R246" s="134"/>
      <c r="S246" s="130"/>
      <c r="T246" s="14"/>
      <c r="U246" s="14"/>
      <c r="V246" s="14"/>
      <c r="W246" s="14"/>
      <c r="X246" s="14"/>
      <c r="Y246" s="14"/>
      <c r="Z246" s="14"/>
      <c r="AA246" s="14"/>
    </row>
    <row r="247" spans="1:27" s="60" customFormat="1">
      <c r="A247" s="32"/>
      <c r="B247" s="13"/>
      <c r="C247" s="14"/>
      <c r="H247" s="133"/>
      <c r="I247" s="128"/>
      <c r="J247" s="128"/>
      <c r="M247" s="130"/>
      <c r="Q247" s="133"/>
      <c r="R247" s="134"/>
      <c r="S247" s="130"/>
      <c r="T247" s="14"/>
      <c r="U247" s="14"/>
      <c r="V247" s="14"/>
      <c r="W247" s="14"/>
      <c r="X247" s="14"/>
      <c r="Y247" s="14"/>
      <c r="Z247" s="14"/>
      <c r="AA247" s="14"/>
    </row>
    <row r="248" spans="1:27" s="60" customFormat="1">
      <c r="A248" s="32"/>
      <c r="B248" s="13"/>
      <c r="C248" s="14"/>
      <c r="H248" s="133"/>
      <c r="I248" s="128"/>
      <c r="J248" s="128"/>
      <c r="M248" s="130"/>
      <c r="Q248" s="133"/>
      <c r="R248" s="134"/>
      <c r="S248" s="130"/>
      <c r="T248" s="14"/>
      <c r="U248" s="14"/>
      <c r="V248" s="14"/>
      <c r="W248" s="14"/>
      <c r="X248" s="14"/>
      <c r="Y248" s="14"/>
      <c r="Z248" s="14"/>
      <c r="AA248" s="14"/>
    </row>
    <row r="249" spans="1:27" s="60" customFormat="1">
      <c r="A249" s="32"/>
      <c r="B249" s="13"/>
      <c r="C249" s="14"/>
      <c r="H249" s="133"/>
      <c r="I249" s="128"/>
      <c r="J249" s="128"/>
      <c r="M249" s="130"/>
      <c r="Q249" s="133"/>
      <c r="R249" s="134"/>
      <c r="S249" s="130"/>
      <c r="T249" s="14"/>
      <c r="U249" s="14"/>
      <c r="V249" s="14"/>
      <c r="W249" s="14"/>
      <c r="X249" s="14"/>
      <c r="Y249" s="14"/>
      <c r="Z249" s="14"/>
      <c r="AA249" s="14"/>
    </row>
    <row r="250" spans="1:27" s="60" customFormat="1">
      <c r="A250" s="32"/>
      <c r="B250" s="13"/>
      <c r="C250" s="14"/>
      <c r="H250" s="133"/>
      <c r="I250" s="128"/>
      <c r="J250" s="128"/>
      <c r="M250" s="130"/>
      <c r="Q250" s="133"/>
      <c r="R250" s="134"/>
      <c r="S250" s="130"/>
      <c r="T250" s="14"/>
      <c r="U250" s="14"/>
      <c r="V250" s="14"/>
      <c r="W250" s="14"/>
      <c r="X250" s="14"/>
      <c r="Y250" s="14"/>
      <c r="Z250" s="14"/>
      <c r="AA250" s="14"/>
    </row>
    <row r="251" spans="1:27" s="60" customFormat="1">
      <c r="A251" s="32"/>
      <c r="B251" s="13"/>
      <c r="C251" s="14"/>
      <c r="H251" s="133"/>
      <c r="I251" s="128"/>
      <c r="J251" s="128"/>
      <c r="M251" s="130"/>
      <c r="Q251" s="133"/>
      <c r="R251" s="134"/>
      <c r="S251" s="130"/>
      <c r="T251" s="14"/>
      <c r="U251" s="14"/>
      <c r="V251" s="14"/>
      <c r="W251" s="14"/>
      <c r="X251" s="14"/>
      <c r="Y251" s="14"/>
      <c r="Z251" s="14"/>
      <c r="AA251" s="14"/>
    </row>
    <row r="252" spans="1:27" s="60" customFormat="1">
      <c r="A252" s="32"/>
      <c r="B252" s="13"/>
      <c r="C252" s="14"/>
      <c r="H252" s="133"/>
      <c r="I252" s="128"/>
      <c r="J252" s="128"/>
      <c r="M252" s="130"/>
      <c r="Q252" s="133"/>
      <c r="R252" s="134"/>
      <c r="S252" s="130"/>
      <c r="T252" s="14"/>
      <c r="U252" s="14"/>
      <c r="V252" s="14"/>
      <c r="W252" s="14"/>
      <c r="X252" s="14"/>
      <c r="Y252" s="14"/>
      <c r="Z252" s="14"/>
      <c r="AA252" s="14"/>
    </row>
    <row r="253" spans="1:27" s="60" customFormat="1">
      <c r="A253" s="32"/>
      <c r="B253" s="13"/>
      <c r="C253" s="14"/>
      <c r="H253" s="133"/>
      <c r="I253" s="128"/>
      <c r="J253" s="128"/>
      <c r="M253" s="130"/>
      <c r="Q253" s="133"/>
      <c r="R253" s="134"/>
      <c r="S253" s="130"/>
      <c r="T253" s="14"/>
      <c r="U253" s="14"/>
      <c r="V253" s="14"/>
      <c r="W253" s="14"/>
      <c r="X253" s="14"/>
      <c r="Y253" s="14"/>
      <c r="Z253" s="14"/>
      <c r="AA253" s="14"/>
    </row>
    <row r="254" spans="1:27" s="60" customFormat="1">
      <c r="A254" s="32"/>
      <c r="B254" s="13"/>
      <c r="C254" s="14"/>
      <c r="H254" s="133"/>
      <c r="I254" s="128"/>
      <c r="J254" s="128"/>
      <c r="M254" s="130"/>
      <c r="Q254" s="133"/>
      <c r="R254" s="134"/>
      <c r="S254" s="130"/>
      <c r="T254" s="14"/>
      <c r="U254" s="14"/>
      <c r="V254" s="14"/>
      <c r="W254" s="14"/>
      <c r="X254" s="14"/>
      <c r="Y254" s="14"/>
      <c r="Z254" s="14"/>
      <c r="AA254" s="14"/>
    </row>
    <row r="255" spans="1:27" s="60" customFormat="1">
      <c r="A255" s="32"/>
      <c r="B255" s="13"/>
      <c r="C255" s="14"/>
      <c r="H255" s="133"/>
      <c r="I255" s="128"/>
      <c r="J255" s="128"/>
      <c r="M255" s="130"/>
      <c r="Q255" s="133"/>
      <c r="R255" s="134"/>
      <c r="S255" s="130"/>
      <c r="T255" s="14"/>
      <c r="U255" s="14"/>
      <c r="V255" s="14"/>
      <c r="W255" s="14"/>
      <c r="X255" s="14"/>
      <c r="Y255" s="14"/>
      <c r="Z255" s="14"/>
      <c r="AA255" s="14"/>
    </row>
    <row r="256" spans="1:27" s="60" customFormat="1">
      <c r="A256" s="32"/>
      <c r="B256" s="13"/>
      <c r="C256" s="14"/>
      <c r="H256" s="133"/>
      <c r="I256" s="128"/>
      <c r="J256" s="128"/>
      <c r="M256" s="130"/>
      <c r="Q256" s="133"/>
      <c r="R256" s="134"/>
      <c r="S256" s="130"/>
      <c r="T256" s="14"/>
      <c r="U256" s="14"/>
      <c r="V256" s="14"/>
      <c r="W256" s="14"/>
      <c r="X256" s="14"/>
      <c r="Y256" s="14"/>
      <c r="Z256" s="14"/>
      <c r="AA256" s="14"/>
    </row>
    <row r="257" spans="1:27" s="60" customFormat="1">
      <c r="A257" s="32"/>
      <c r="B257" s="13"/>
      <c r="C257" s="14"/>
      <c r="H257" s="133"/>
      <c r="I257" s="128"/>
      <c r="J257" s="128"/>
      <c r="M257" s="130"/>
      <c r="Q257" s="133"/>
      <c r="R257" s="134"/>
      <c r="S257" s="130"/>
      <c r="T257" s="14"/>
      <c r="U257" s="14"/>
      <c r="V257" s="14"/>
      <c r="W257" s="14"/>
      <c r="X257" s="14"/>
      <c r="Y257" s="14"/>
      <c r="Z257" s="14"/>
      <c r="AA257" s="14"/>
    </row>
    <row r="258" spans="1:27" s="60" customFormat="1">
      <c r="A258" s="32"/>
      <c r="B258" s="13"/>
      <c r="C258" s="14"/>
      <c r="H258" s="133"/>
      <c r="I258" s="128"/>
      <c r="J258" s="128"/>
      <c r="M258" s="130"/>
      <c r="Q258" s="133"/>
      <c r="R258" s="134"/>
      <c r="S258" s="130"/>
      <c r="T258" s="14"/>
      <c r="U258" s="14"/>
      <c r="V258" s="14"/>
      <c r="W258" s="14"/>
      <c r="X258" s="14"/>
      <c r="Y258" s="14"/>
      <c r="Z258" s="14"/>
      <c r="AA258" s="14"/>
    </row>
    <row r="259" spans="1:27" s="60" customFormat="1">
      <c r="A259" s="32"/>
      <c r="B259" s="13"/>
      <c r="C259" s="14"/>
      <c r="H259" s="133"/>
      <c r="I259" s="128"/>
      <c r="J259" s="128"/>
      <c r="M259" s="130"/>
      <c r="Q259" s="133"/>
      <c r="R259" s="134"/>
      <c r="S259" s="130"/>
      <c r="T259" s="14"/>
      <c r="U259" s="14"/>
      <c r="V259" s="14"/>
      <c r="W259" s="14"/>
      <c r="X259" s="14"/>
      <c r="Y259" s="14"/>
      <c r="Z259" s="14"/>
      <c r="AA259" s="14"/>
    </row>
    <row r="260" spans="1:27" s="60" customFormat="1">
      <c r="A260" s="32"/>
      <c r="B260" s="13"/>
      <c r="C260" s="14"/>
      <c r="H260" s="133"/>
      <c r="I260" s="128"/>
      <c r="J260" s="128"/>
      <c r="M260" s="130"/>
      <c r="Q260" s="133"/>
      <c r="R260" s="134"/>
      <c r="S260" s="130"/>
      <c r="T260" s="14"/>
      <c r="U260" s="14"/>
      <c r="V260" s="14"/>
      <c r="W260" s="14"/>
      <c r="X260" s="14"/>
      <c r="Y260" s="14"/>
      <c r="Z260" s="14"/>
      <c r="AA260" s="14"/>
    </row>
    <row r="261" spans="1:27" s="60" customFormat="1">
      <c r="A261" s="32"/>
      <c r="B261" s="13"/>
      <c r="C261" s="14"/>
      <c r="H261" s="133"/>
      <c r="I261" s="128"/>
      <c r="J261" s="128"/>
      <c r="M261" s="130"/>
      <c r="Q261" s="133"/>
      <c r="R261" s="134"/>
      <c r="S261" s="130"/>
      <c r="T261" s="14"/>
      <c r="U261" s="14"/>
      <c r="V261" s="14"/>
      <c r="W261" s="14"/>
      <c r="X261" s="14"/>
      <c r="Y261" s="14"/>
      <c r="Z261" s="14"/>
      <c r="AA261" s="14"/>
    </row>
    <row r="262" spans="1:27" s="60" customFormat="1">
      <c r="A262" s="32"/>
      <c r="B262" s="13"/>
      <c r="C262" s="14"/>
      <c r="H262" s="133"/>
      <c r="I262" s="128"/>
      <c r="J262" s="128"/>
      <c r="M262" s="130"/>
      <c r="Q262" s="133"/>
      <c r="R262" s="134"/>
      <c r="S262" s="130"/>
      <c r="T262" s="14"/>
      <c r="U262" s="14"/>
      <c r="V262" s="14"/>
      <c r="W262" s="14"/>
      <c r="X262" s="14"/>
      <c r="Y262" s="14"/>
      <c r="Z262" s="14"/>
      <c r="AA262" s="14"/>
    </row>
    <row r="263" spans="1:27" s="60" customFormat="1">
      <c r="A263" s="32"/>
      <c r="B263" s="13"/>
      <c r="C263" s="14"/>
      <c r="H263" s="133"/>
      <c r="I263" s="128"/>
      <c r="J263" s="128"/>
      <c r="M263" s="130"/>
      <c r="Q263" s="133"/>
      <c r="R263" s="134"/>
      <c r="S263" s="130"/>
      <c r="T263" s="14"/>
      <c r="U263" s="14"/>
      <c r="V263" s="14"/>
      <c r="W263" s="14"/>
      <c r="X263" s="14"/>
      <c r="Y263" s="14"/>
      <c r="Z263" s="14"/>
      <c r="AA263" s="14"/>
    </row>
    <row r="264" spans="1:27" s="60" customFormat="1">
      <c r="A264" s="32"/>
      <c r="B264" s="13"/>
      <c r="C264" s="14"/>
      <c r="H264" s="133"/>
      <c r="I264" s="128"/>
      <c r="J264" s="128"/>
      <c r="M264" s="130"/>
      <c r="Q264" s="133"/>
      <c r="R264" s="134"/>
      <c r="S264" s="130"/>
      <c r="T264" s="14"/>
      <c r="U264" s="14"/>
      <c r="V264" s="14"/>
      <c r="W264" s="14"/>
      <c r="X264" s="14"/>
      <c r="Y264" s="14"/>
      <c r="Z264" s="14"/>
      <c r="AA264" s="14"/>
    </row>
    <row r="265" spans="1:27" s="60" customFormat="1">
      <c r="A265" s="32"/>
      <c r="B265" s="13"/>
      <c r="C265" s="14"/>
      <c r="H265" s="133"/>
      <c r="I265" s="128"/>
      <c r="J265" s="128"/>
      <c r="M265" s="130"/>
      <c r="Q265" s="133"/>
      <c r="R265" s="134"/>
      <c r="S265" s="130"/>
      <c r="T265" s="14"/>
      <c r="U265" s="14"/>
      <c r="V265" s="14"/>
      <c r="W265" s="14"/>
      <c r="X265" s="14"/>
      <c r="Y265" s="14"/>
      <c r="Z265" s="14"/>
      <c r="AA265" s="14"/>
    </row>
    <row r="266" spans="1:27" s="60" customFormat="1">
      <c r="A266" s="32"/>
      <c r="B266" s="13"/>
      <c r="C266" s="14"/>
      <c r="H266" s="133"/>
      <c r="I266" s="128"/>
      <c r="J266" s="128"/>
      <c r="M266" s="130"/>
      <c r="Q266" s="133"/>
      <c r="R266" s="134"/>
      <c r="S266" s="130"/>
      <c r="T266" s="14"/>
      <c r="U266" s="14"/>
      <c r="V266" s="14"/>
      <c r="W266" s="14"/>
      <c r="X266" s="14"/>
      <c r="Y266" s="14"/>
      <c r="Z266" s="14"/>
      <c r="AA266" s="14"/>
    </row>
    <row r="267" spans="1:27" s="60" customFormat="1">
      <c r="A267" s="32"/>
      <c r="B267" s="13"/>
      <c r="C267" s="14"/>
      <c r="H267" s="133"/>
      <c r="I267" s="128"/>
      <c r="J267" s="128"/>
      <c r="M267" s="130"/>
      <c r="Q267" s="133"/>
      <c r="R267" s="134"/>
      <c r="S267" s="130"/>
      <c r="T267" s="14"/>
      <c r="U267" s="14"/>
      <c r="V267" s="14"/>
      <c r="W267" s="14"/>
      <c r="X267" s="14"/>
      <c r="Y267" s="14"/>
      <c r="Z267" s="14"/>
      <c r="AA267" s="14"/>
    </row>
    <row r="268" spans="1:27" s="60" customFormat="1">
      <c r="A268" s="32"/>
      <c r="B268" s="13"/>
      <c r="C268" s="14"/>
      <c r="H268" s="133"/>
      <c r="I268" s="128"/>
      <c r="J268" s="128"/>
      <c r="M268" s="130"/>
      <c r="Q268" s="133"/>
      <c r="R268" s="134"/>
      <c r="S268" s="130"/>
      <c r="T268" s="14"/>
      <c r="U268" s="14"/>
      <c r="V268" s="14"/>
      <c r="W268" s="14"/>
      <c r="X268" s="14"/>
      <c r="Y268" s="14"/>
      <c r="Z268" s="14"/>
      <c r="AA268" s="14"/>
    </row>
    <row r="269" spans="1:27" s="60" customFormat="1">
      <c r="A269" s="32"/>
      <c r="B269" s="13"/>
      <c r="C269" s="14"/>
      <c r="H269" s="133"/>
      <c r="I269" s="128"/>
      <c r="J269" s="128"/>
      <c r="M269" s="130"/>
      <c r="Q269" s="133"/>
      <c r="R269" s="134"/>
      <c r="S269" s="130"/>
      <c r="T269" s="14"/>
      <c r="U269" s="14"/>
      <c r="V269" s="14"/>
      <c r="W269" s="14"/>
      <c r="X269" s="14"/>
      <c r="Y269" s="14"/>
      <c r="Z269" s="14"/>
      <c r="AA269" s="14"/>
    </row>
    <row r="270" spans="1:27" s="60" customFormat="1">
      <c r="A270" s="32"/>
      <c r="B270" s="13"/>
      <c r="C270" s="14"/>
      <c r="H270" s="133"/>
      <c r="I270" s="128"/>
      <c r="J270" s="128"/>
      <c r="M270" s="130"/>
      <c r="Q270" s="133"/>
      <c r="R270" s="134"/>
      <c r="S270" s="130"/>
      <c r="T270" s="14"/>
      <c r="U270" s="14"/>
      <c r="V270" s="14"/>
      <c r="W270" s="14"/>
      <c r="X270" s="14"/>
      <c r="Y270" s="14"/>
      <c r="Z270" s="14"/>
      <c r="AA270" s="14"/>
    </row>
    <row r="271" spans="1:27" s="60" customFormat="1">
      <c r="A271" s="32"/>
      <c r="B271" s="13"/>
      <c r="C271" s="14"/>
      <c r="H271" s="133"/>
      <c r="I271" s="128"/>
      <c r="J271" s="128"/>
      <c r="M271" s="130"/>
      <c r="Q271" s="133"/>
      <c r="R271" s="134"/>
      <c r="S271" s="130"/>
      <c r="T271" s="14"/>
      <c r="U271" s="14"/>
      <c r="V271" s="14"/>
      <c r="W271" s="14"/>
      <c r="X271" s="14"/>
      <c r="Y271" s="14"/>
      <c r="Z271" s="14"/>
      <c r="AA271" s="14"/>
    </row>
    <row r="272" spans="1:27" s="60" customFormat="1">
      <c r="A272" s="32"/>
      <c r="B272" s="13"/>
      <c r="C272" s="14"/>
      <c r="H272" s="133"/>
      <c r="I272" s="128"/>
      <c r="J272" s="128"/>
      <c r="M272" s="130"/>
      <c r="Q272" s="133"/>
      <c r="R272" s="134"/>
      <c r="S272" s="130"/>
      <c r="T272" s="14"/>
      <c r="U272" s="14"/>
      <c r="V272" s="14"/>
      <c r="W272" s="14"/>
      <c r="X272" s="14"/>
      <c r="Y272" s="14"/>
      <c r="Z272" s="14"/>
      <c r="AA272" s="14"/>
    </row>
    <row r="273" spans="1:27" s="60" customFormat="1">
      <c r="A273" s="32"/>
      <c r="B273" s="13"/>
      <c r="C273" s="14"/>
      <c r="H273" s="133"/>
      <c r="I273" s="128"/>
      <c r="J273" s="128"/>
      <c r="M273" s="130"/>
      <c r="Q273" s="133"/>
      <c r="R273" s="134"/>
      <c r="S273" s="130"/>
      <c r="T273" s="14"/>
      <c r="U273" s="14"/>
      <c r="V273" s="14"/>
      <c r="W273" s="14"/>
      <c r="X273" s="14"/>
      <c r="Y273" s="14"/>
      <c r="Z273" s="14"/>
      <c r="AA273" s="14"/>
    </row>
    <row r="274" spans="1:27" s="60" customFormat="1">
      <c r="A274" s="32"/>
      <c r="B274" s="13"/>
      <c r="C274" s="14"/>
      <c r="H274" s="133"/>
      <c r="I274" s="128"/>
      <c r="J274" s="128"/>
      <c r="M274" s="130"/>
      <c r="Q274" s="133"/>
      <c r="R274" s="134"/>
      <c r="S274" s="130"/>
      <c r="T274" s="14"/>
      <c r="U274" s="14"/>
      <c r="V274" s="14"/>
      <c r="W274" s="14"/>
      <c r="X274" s="14"/>
      <c r="Y274" s="14"/>
      <c r="Z274" s="14"/>
      <c r="AA274" s="14"/>
    </row>
    <row r="275" spans="1:27" s="60" customFormat="1">
      <c r="A275" s="32"/>
      <c r="B275" s="13"/>
      <c r="C275" s="14"/>
      <c r="H275" s="133"/>
      <c r="I275" s="128"/>
      <c r="J275" s="128"/>
      <c r="M275" s="130"/>
      <c r="Q275" s="133"/>
      <c r="R275" s="134"/>
      <c r="S275" s="130"/>
      <c r="T275" s="14"/>
      <c r="U275" s="14"/>
      <c r="V275" s="14"/>
      <c r="W275" s="14"/>
      <c r="X275" s="14"/>
      <c r="Y275" s="14"/>
      <c r="Z275" s="14"/>
      <c r="AA275" s="14"/>
    </row>
    <row r="276" spans="1:27" s="60" customFormat="1">
      <c r="A276" s="32"/>
      <c r="B276" s="13"/>
      <c r="C276" s="14"/>
      <c r="H276" s="133"/>
      <c r="I276" s="128"/>
      <c r="J276" s="128"/>
      <c r="M276" s="130"/>
      <c r="Q276" s="133"/>
      <c r="R276" s="134"/>
      <c r="S276" s="130"/>
      <c r="T276" s="14"/>
      <c r="U276" s="14"/>
      <c r="V276" s="14"/>
      <c r="W276" s="14"/>
      <c r="X276" s="14"/>
      <c r="Y276" s="14"/>
      <c r="Z276" s="14"/>
      <c r="AA276" s="14"/>
    </row>
    <row r="277" spans="1:27" s="60" customFormat="1">
      <c r="A277" s="32"/>
      <c r="B277" s="13"/>
      <c r="C277" s="14"/>
      <c r="H277" s="133"/>
      <c r="I277" s="128"/>
      <c r="J277" s="128"/>
      <c r="M277" s="130"/>
      <c r="Q277" s="133"/>
      <c r="R277" s="134"/>
      <c r="S277" s="130"/>
      <c r="T277" s="14"/>
      <c r="U277" s="14"/>
      <c r="V277" s="14"/>
      <c r="W277" s="14"/>
      <c r="X277" s="14"/>
      <c r="Y277" s="14"/>
      <c r="Z277" s="14"/>
      <c r="AA277" s="14"/>
    </row>
    <row r="278" spans="1:27" s="60" customFormat="1">
      <c r="A278" s="32"/>
      <c r="B278" s="13"/>
      <c r="C278" s="14"/>
      <c r="H278" s="133"/>
      <c r="I278" s="128"/>
      <c r="J278" s="128"/>
      <c r="M278" s="130"/>
      <c r="Q278" s="133"/>
      <c r="R278" s="134"/>
      <c r="S278" s="130"/>
      <c r="T278" s="14"/>
      <c r="U278" s="14"/>
      <c r="V278" s="14"/>
      <c r="W278" s="14"/>
      <c r="X278" s="14"/>
      <c r="Y278" s="14"/>
      <c r="Z278" s="14"/>
      <c r="AA278" s="14"/>
    </row>
    <row r="279" spans="1:27" s="60" customFormat="1">
      <c r="A279" s="32"/>
      <c r="B279" s="13"/>
      <c r="C279" s="14"/>
      <c r="H279" s="133"/>
      <c r="I279" s="128"/>
      <c r="J279" s="128"/>
      <c r="M279" s="130"/>
      <c r="Q279" s="133"/>
      <c r="R279" s="134"/>
      <c r="S279" s="130"/>
      <c r="T279" s="14"/>
      <c r="U279" s="14"/>
      <c r="V279" s="14"/>
      <c r="W279" s="14"/>
      <c r="X279" s="14"/>
      <c r="Y279" s="14"/>
      <c r="Z279" s="14"/>
      <c r="AA279" s="14"/>
    </row>
    <row r="280" spans="1:27" s="60" customFormat="1">
      <c r="A280" s="32"/>
      <c r="B280" s="13"/>
      <c r="C280" s="14"/>
      <c r="H280" s="133"/>
      <c r="I280" s="128"/>
      <c r="J280" s="128"/>
      <c r="M280" s="130"/>
      <c r="Q280" s="133"/>
      <c r="R280" s="134"/>
      <c r="S280" s="130"/>
      <c r="T280" s="14"/>
      <c r="U280" s="14"/>
      <c r="V280" s="14"/>
      <c r="W280" s="14"/>
      <c r="X280" s="14"/>
      <c r="Y280" s="14"/>
      <c r="Z280" s="14"/>
      <c r="AA280" s="14"/>
    </row>
    <row r="281" spans="1:27" s="60" customFormat="1">
      <c r="A281" s="32"/>
      <c r="B281" s="13"/>
      <c r="C281" s="14"/>
      <c r="H281" s="133"/>
      <c r="I281" s="128"/>
      <c r="J281" s="128"/>
      <c r="M281" s="130"/>
      <c r="Q281" s="133"/>
      <c r="R281" s="134"/>
      <c r="S281" s="130"/>
      <c r="T281" s="14"/>
      <c r="U281" s="14"/>
      <c r="V281" s="14"/>
      <c r="W281" s="14"/>
      <c r="X281" s="14"/>
      <c r="Y281" s="14"/>
      <c r="Z281" s="14"/>
      <c r="AA281" s="14"/>
    </row>
    <row r="282" spans="1:27" s="60" customFormat="1">
      <c r="A282" s="32"/>
      <c r="B282" s="13"/>
      <c r="C282" s="14"/>
      <c r="H282" s="133"/>
      <c r="I282" s="128"/>
      <c r="J282" s="128"/>
      <c r="M282" s="130"/>
      <c r="Q282" s="133"/>
      <c r="R282" s="134"/>
      <c r="S282" s="130"/>
      <c r="T282" s="14"/>
      <c r="U282" s="14"/>
      <c r="V282" s="14"/>
      <c r="W282" s="14"/>
      <c r="X282" s="14"/>
      <c r="Y282" s="14"/>
      <c r="Z282" s="14"/>
      <c r="AA282" s="14"/>
    </row>
    <row r="283" spans="1:27" s="60" customFormat="1">
      <c r="A283" s="32"/>
      <c r="B283" s="13"/>
      <c r="C283" s="14"/>
      <c r="H283" s="133"/>
      <c r="I283" s="128"/>
      <c r="J283" s="128"/>
      <c r="M283" s="130"/>
      <c r="Q283" s="133"/>
      <c r="R283" s="134"/>
      <c r="S283" s="130"/>
      <c r="T283" s="14"/>
      <c r="U283" s="14"/>
      <c r="V283" s="14"/>
      <c r="W283" s="14"/>
      <c r="X283" s="14"/>
      <c r="Y283" s="14"/>
      <c r="Z283" s="14"/>
      <c r="AA283" s="14"/>
    </row>
    <row r="284" spans="1:27" s="60" customFormat="1">
      <c r="A284" s="32"/>
      <c r="B284" s="13"/>
      <c r="C284" s="14"/>
      <c r="H284" s="133"/>
      <c r="I284" s="128"/>
      <c r="J284" s="128"/>
      <c r="M284" s="130"/>
      <c r="Q284" s="133"/>
      <c r="R284" s="134"/>
      <c r="S284" s="130"/>
      <c r="T284" s="14"/>
      <c r="U284" s="14"/>
      <c r="V284" s="14"/>
      <c r="W284" s="14"/>
      <c r="X284" s="14"/>
      <c r="Y284" s="14"/>
      <c r="Z284" s="14"/>
      <c r="AA284" s="14"/>
    </row>
    <row r="285" spans="1:27" s="60" customFormat="1">
      <c r="A285" s="32"/>
      <c r="B285" s="13"/>
      <c r="C285" s="14"/>
      <c r="H285" s="133"/>
      <c r="I285" s="128"/>
      <c r="J285" s="128"/>
      <c r="M285" s="130"/>
      <c r="Q285" s="133"/>
      <c r="R285" s="134"/>
      <c r="S285" s="130"/>
      <c r="T285" s="14"/>
      <c r="U285" s="14"/>
      <c r="V285" s="14"/>
      <c r="W285" s="14"/>
      <c r="X285" s="14"/>
      <c r="Y285" s="14"/>
      <c r="Z285" s="14"/>
      <c r="AA285" s="14"/>
    </row>
    <row r="286" spans="1:27" s="60" customFormat="1">
      <c r="A286" s="32"/>
      <c r="B286" s="13"/>
      <c r="C286" s="14"/>
      <c r="H286" s="133"/>
      <c r="I286" s="128"/>
      <c r="J286" s="128"/>
      <c r="M286" s="130"/>
      <c r="Q286" s="133"/>
      <c r="R286" s="134"/>
      <c r="S286" s="130"/>
      <c r="T286" s="14"/>
      <c r="U286" s="14"/>
      <c r="V286" s="14"/>
      <c r="W286" s="14"/>
      <c r="X286" s="14"/>
      <c r="Y286" s="14"/>
      <c r="Z286" s="14"/>
      <c r="AA286" s="14"/>
    </row>
    <row r="287" spans="1:27" s="60" customFormat="1">
      <c r="A287" s="32"/>
      <c r="B287" s="13"/>
      <c r="C287" s="14"/>
      <c r="H287" s="133"/>
      <c r="I287" s="128"/>
      <c r="J287" s="128"/>
      <c r="M287" s="130"/>
      <c r="Q287" s="133"/>
      <c r="R287" s="134"/>
      <c r="S287" s="130"/>
      <c r="T287" s="14"/>
      <c r="U287" s="14"/>
      <c r="V287" s="14"/>
      <c r="W287" s="14"/>
      <c r="X287" s="14"/>
      <c r="Y287" s="14"/>
      <c r="Z287" s="14"/>
      <c r="AA287" s="14"/>
    </row>
    <row r="288" spans="1:27" s="60" customFormat="1">
      <c r="A288" s="32"/>
      <c r="B288" s="13"/>
      <c r="C288" s="14"/>
      <c r="H288" s="133"/>
      <c r="I288" s="128"/>
      <c r="J288" s="128"/>
      <c r="M288" s="130"/>
      <c r="Q288" s="133"/>
      <c r="R288" s="134"/>
      <c r="S288" s="130"/>
      <c r="T288" s="14"/>
      <c r="U288" s="14"/>
      <c r="V288" s="14"/>
      <c r="W288" s="14"/>
      <c r="X288" s="14"/>
      <c r="Y288" s="14"/>
      <c r="Z288" s="14"/>
      <c r="AA288" s="14"/>
    </row>
    <row r="289" spans="1:27" s="60" customFormat="1">
      <c r="A289" s="32"/>
      <c r="B289" s="13"/>
      <c r="C289" s="14"/>
      <c r="H289" s="133"/>
      <c r="I289" s="128"/>
      <c r="J289" s="128"/>
      <c r="M289" s="130"/>
      <c r="Q289" s="133"/>
      <c r="R289" s="134"/>
      <c r="S289" s="130"/>
      <c r="T289" s="14"/>
      <c r="U289" s="14"/>
      <c r="V289" s="14"/>
      <c r="W289" s="14"/>
      <c r="X289" s="14"/>
      <c r="Y289" s="14"/>
      <c r="Z289" s="14"/>
      <c r="AA289" s="14"/>
    </row>
    <row r="290" spans="1:27" s="60" customFormat="1">
      <c r="A290" s="32"/>
      <c r="B290" s="13"/>
      <c r="C290" s="14"/>
      <c r="H290" s="133"/>
      <c r="I290" s="128"/>
      <c r="J290" s="128"/>
      <c r="M290" s="130"/>
      <c r="Q290" s="133"/>
      <c r="R290" s="134"/>
      <c r="S290" s="130"/>
      <c r="T290" s="14"/>
      <c r="U290" s="14"/>
      <c r="V290" s="14"/>
      <c r="W290" s="14"/>
      <c r="X290" s="14"/>
      <c r="Y290" s="14"/>
      <c r="Z290" s="14"/>
      <c r="AA290" s="14"/>
    </row>
    <row r="291" spans="1:27" s="60" customFormat="1">
      <c r="A291" s="32"/>
      <c r="B291" s="13"/>
      <c r="C291" s="14"/>
      <c r="H291" s="133"/>
      <c r="I291" s="128"/>
      <c r="J291" s="128"/>
      <c r="M291" s="130"/>
      <c r="Q291" s="133"/>
      <c r="R291" s="134"/>
      <c r="S291" s="130"/>
      <c r="T291" s="14"/>
      <c r="U291" s="14"/>
      <c r="V291" s="14"/>
      <c r="W291" s="14"/>
      <c r="X291" s="14"/>
      <c r="Y291" s="14"/>
      <c r="Z291" s="14"/>
      <c r="AA291" s="14"/>
    </row>
    <row r="292" spans="1:27" s="60" customFormat="1">
      <c r="A292" s="32"/>
      <c r="B292" s="13"/>
      <c r="C292" s="14"/>
      <c r="H292" s="133"/>
      <c r="I292" s="128"/>
      <c r="J292" s="128"/>
      <c r="M292" s="130"/>
      <c r="Q292" s="133"/>
      <c r="R292" s="134"/>
      <c r="S292" s="130"/>
      <c r="T292" s="14"/>
      <c r="U292" s="14"/>
      <c r="V292" s="14"/>
      <c r="W292" s="14"/>
      <c r="X292" s="14"/>
      <c r="Y292" s="14"/>
      <c r="Z292" s="14"/>
      <c r="AA292" s="14"/>
    </row>
    <row r="293" spans="1:27" s="60" customFormat="1">
      <c r="A293" s="32"/>
      <c r="B293" s="13"/>
      <c r="C293" s="14"/>
      <c r="H293" s="133"/>
      <c r="I293" s="128"/>
      <c r="J293" s="128"/>
      <c r="M293" s="130"/>
      <c r="Q293" s="133"/>
      <c r="R293" s="134"/>
      <c r="S293" s="130"/>
      <c r="T293" s="14"/>
      <c r="U293" s="14"/>
      <c r="V293" s="14"/>
      <c r="W293" s="14"/>
      <c r="X293" s="14"/>
      <c r="Y293" s="14"/>
      <c r="Z293" s="14"/>
      <c r="AA293" s="14"/>
    </row>
    <row r="294" spans="1:27" s="60" customFormat="1">
      <c r="A294" s="32"/>
      <c r="B294" s="13"/>
      <c r="C294" s="14"/>
      <c r="H294" s="133"/>
      <c r="I294" s="128"/>
      <c r="J294" s="128"/>
      <c r="M294" s="130"/>
      <c r="Q294" s="133"/>
      <c r="R294" s="134"/>
      <c r="S294" s="130"/>
      <c r="T294" s="14"/>
      <c r="U294" s="14"/>
      <c r="V294" s="14"/>
      <c r="W294" s="14"/>
      <c r="X294" s="14"/>
      <c r="Y294" s="14"/>
      <c r="Z294" s="14"/>
      <c r="AA294" s="14"/>
    </row>
    <row r="295" spans="1:27" s="60" customFormat="1">
      <c r="A295" s="32"/>
      <c r="B295" s="13"/>
      <c r="C295" s="14"/>
      <c r="H295" s="133"/>
      <c r="I295" s="128"/>
      <c r="J295" s="128"/>
      <c r="M295" s="130"/>
      <c r="Q295" s="133"/>
      <c r="R295" s="134"/>
      <c r="S295" s="130"/>
      <c r="T295" s="14"/>
      <c r="U295" s="14"/>
      <c r="V295" s="14"/>
      <c r="W295" s="14"/>
      <c r="X295" s="14"/>
      <c r="Y295" s="14"/>
      <c r="Z295" s="14"/>
      <c r="AA295" s="14"/>
    </row>
    <row r="296" spans="1:27" s="60" customFormat="1">
      <c r="A296" s="32"/>
      <c r="B296" s="13"/>
      <c r="C296" s="14"/>
      <c r="H296" s="133"/>
      <c r="I296" s="128"/>
      <c r="J296" s="128"/>
      <c r="M296" s="130"/>
      <c r="Q296" s="133"/>
      <c r="R296" s="134"/>
      <c r="S296" s="130"/>
      <c r="T296" s="14"/>
      <c r="U296" s="14"/>
      <c r="V296" s="14"/>
      <c r="W296" s="14"/>
      <c r="X296" s="14"/>
      <c r="Y296" s="14"/>
      <c r="Z296" s="14"/>
      <c r="AA296" s="14"/>
    </row>
    <row r="297" spans="1:27" s="60" customFormat="1">
      <c r="A297" s="32"/>
      <c r="B297" s="13"/>
      <c r="C297" s="14"/>
      <c r="H297" s="133"/>
      <c r="I297" s="128"/>
      <c r="J297" s="128"/>
      <c r="M297" s="130"/>
      <c r="Q297" s="133"/>
      <c r="R297" s="134"/>
      <c r="S297" s="130"/>
      <c r="T297" s="14"/>
      <c r="U297" s="14"/>
      <c r="V297" s="14"/>
      <c r="W297" s="14"/>
      <c r="X297" s="14"/>
      <c r="Y297" s="14"/>
      <c r="Z297" s="14"/>
      <c r="AA297" s="14"/>
    </row>
    <row r="298" spans="1:27" s="60" customFormat="1">
      <c r="A298" s="32"/>
      <c r="B298" s="13"/>
      <c r="C298" s="14"/>
      <c r="H298" s="133"/>
      <c r="I298" s="128"/>
      <c r="J298" s="128"/>
      <c r="M298" s="130"/>
      <c r="Q298" s="133"/>
      <c r="R298" s="134"/>
      <c r="S298" s="130"/>
      <c r="T298" s="14"/>
      <c r="U298" s="14"/>
      <c r="V298" s="14"/>
      <c r="W298" s="14"/>
      <c r="X298" s="14"/>
      <c r="Y298" s="14"/>
      <c r="Z298" s="14"/>
      <c r="AA298" s="14"/>
    </row>
    <row r="299" spans="1:27" s="60" customFormat="1">
      <c r="A299" s="32"/>
      <c r="B299" s="13"/>
      <c r="C299" s="14"/>
      <c r="H299" s="133"/>
      <c r="I299" s="128"/>
      <c r="J299" s="128"/>
      <c r="M299" s="130"/>
      <c r="Q299" s="133"/>
      <c r="R299" s="134"/>
      <c r="S299" s="130"/>
      <c r="T299" s="14"/>
      <c r="U299" s="14"/>
      <c r="V299" s="14"/>
      <c r="W299" s="14"/>
      <c r="X299" s="14"/>
      <c r="Y299" s="14"/>
      <c r="Z299" s="14"/>
      <c r="AA299" s="14"/>
    </row>
    <row r="300" spans="1:27" s="60" customFormat="1">
      <c r="A300" s="32"/>
      <c r="B300" s="13"/>
      <c r="C300" s="14"/>
      <c r="H300" s="133"/>
      <c r="I300" s="128"/>
      <c r="J300" s="128"/>
      <c r="M300" s="130"/>
      <c r="Q300" s="133"/>
      <c r="R300" s="134"/>
      <c r="S300" s="130"/>
      <c r="T300" s="14"/>
      <c r="U300" s="14"/>
      <c r="V300" s="14"/>
      <c r="W300" s="14"/>
      <c r="X300" s="14"/>
      <c r="Y300" s="14"/>
      <c r="Z300" s="14"/>
      <c r="AA300" s="14"/>
    </row>
    <row r="301" spans="1:27" s="60" customFormat="1">
      <c r="A301" s="32"/>
      <c r="B301" s="13"/>
      <c r="C301" s="14"/>
      <c r="H301" s="133"/>
      <c r="I301" s="128"/>
      <c r="J301" s="128"/>
      <c r="M301" s="130"/>
      <c r="Q301" s="133"/>
      <c r="R301" s="134"/>
      <c r="S301" s="130"/>
      <c r="T301" s="14"/>
      <c r="U301" s="14"/>
      <c r="V301" s="14"/>
      <c r="W301" s="14"/>
      <c r="X301" s="14"/>
      <c r="Y301" s="14"/>
      <c r="Z301" s="14"/>
      <c r="AA301" s="14"/>
    </row>
    <row r="302" spans="1:27" s="60" customFormat="1">
      <c r="A302" s="32"/>
      <c r="B302" s="13"/>
      <c r="C302" s="14"/>
      <c r="H302" s="133"/>
      <c r="I302" s="128"/>
      <c r="J302" s="128"/>
      <c r="M302" s="130"/>
      <c r="Q302" s="133"/>
      <c r="R302" s="134"/>
      <c r="S302" s="130"/>
      <c r="T302" s="14"/>
      <c r="U302" s="14"/>
      <c r="V302" s="14"/>
      <c r="W302" s="14"/>
      <c r="X302" s="14"/>
      <c r="Y302" s="14"/>
      <c r="Z302" s="14"/>
      <c r="AA302" s="14"/>
    </row>
    <row r="303" spans="1:27" s="60" customFormat="1">
      <c r="A303" s="32"/>
      <c r="B303" s="13"/>
      <c r="C303" s="14"/>
      <c r="H303" s="133"/>
      <c r="I303" s="128"/>
      <c r="J303" s="128"/>
      <c r="M303" s="130"/>
      <c r="Q303" s="133"/>
      <c r="R303" s="134"/>
      <c r="S303" s="130"/>
      <c r="T303" s="14"/>
      <c r="U303" s="14"/>
      <c r="V303" s="14"/>
      <c r="W303" s="14"/>
      <c r="X303" s="14"/>
      <c r="Y303" s="14"/>
      <c r="Z303" s="14"/>
      <c r="AA303" s="14"/>
    </row>
    <row r="304" spans="1:27" s="60" customFormat="1">
      <c r="A304" s="32"/>
      <c r="B304" s="13"/>
      <c r="C304" s="14"/>
      <c r="H304" s="133"/>
      <c r="I304" s="128"/>
      <c r="J304" s="128"/>
      <c r="M304" s="130"/>
      <c r="Q304" s="133"/>
      <c r="R304" s="134"/>
      <c r="S304" s="130"/>
      <c r="T304" s="14"/>
      <c r="U304" s="14"/>
      <c r="V304" s="14"/>
      <c r="W304" s="14"/>
      <c r="X304" s="14"/>
      <c r="Y304" s="14"/>
      <c r="Z304" s="14"/>
      <c r="AA304" s="14"/>
    </row>
    <row r="305" spans="1:27" s="60" customFormat="1">
      <c r="A305" s="32"/>
      <c r="B305" s="13"/>
      <c r="C305" s="14"/>
      <c r="H305" s="133"/>
      <c r="I305" s="128"/>
      <c r="J305" s="128"/>
      <c r="M305" s="130"/>
      <c r="Q305" s="133"/>
      <c r="R305" s="134"/>
      <c r="S305" s="130"/>
      <c r="T305" s="14"/>
      <c r="U305" s="14"/>
      <c r="V305" s="14"/>
      <c r="W305" s="14"/>
      <c r="X305" s="14"/>
      <c r="Y305" s="14"/>
      <c r="Z305" s="14"/>
      <c r="AA305" s="14"/>
    </row>
    <row r="306" spans="1:27" s="60" customFormat="1">
      <c r="A306" s="32"/>
      <c r="B306" s="13"/>
      <c r="C306" s="14"/>
      <c r="H306" s="133"/>
      <c r="I306" s="128"/>
      <c r="J306" s="128"/>
      <c r="M306" s="130"/>
      <c r="Q306" s="133"/>
      <c r="R306" s="134"/>
      <c r="S306" s="130"/>
      <c r="T306" s="14"/>
      <c r="U306" s="14"/>
      <c r="V306" s="14"/>
      <c r="W306" s="14"/>
      <c r="X306" s="14"/>
      <c r="Y306" s="14"/>
      <c r="Z306" s="14"/>
      <c r="AA306" s="14"/>
    </row>
    <row r="307" spans="1:27" s="60" customFormat="1">
      <c r="A307" s="32"/>
      <c r="B307" s="13"/>
      <c r="C307" s="14"/>
      <c r="H307" s="133"/>
      <c r="I307" s="128"/>
      <c r="J307" s="128"/>
      <c r="M307" s="130"/>
      <c r="Q307" s="133"/>
      <c r="R307" s="134"/>
      <c r="S307" s="130"/>
      <c r="T307" s="14"/>
      <c r="U307" s="14"/>
      <c r="V307" s="14"/>
      <c r="W307" s="14"/>
      <c r="X307" s="14"/>
      <c r="Y307" s="14"/>
      <c r="Z307" s="14"/>
      <c r="AA307" s="14"/>
    </row>
    <row r="308" spans="1:27" s="60" customFormat="1">
      <c r="A308" s="32"/>
      <c r="B308" s="13"/>
      <c r="C308" s="14"/>
      <c r="H308" s="133"/>
      <c r="I308" s="128"/>
      <c r="J308" s="128"/>
      <c r="M308" s="130"/>
      <c r="Q308" s="133"/>
      <c r="R308" s="134"/>
      <c r="S308" s="130"/>
      <c r="T308" s="14"/>
      <c r="U308" s="14"/>
      <c r="V308" s="14"/>
      <c r="W308" s="14"/>
      <c r="X308" s="14"/>
      <c r="Y308" s="14"/>
      <c r="Z308" s="14"/>
      <c r="AA308" s="14"/>
    </row>
    <row r="309" spans="1:27" s="60" customFormat="1">
      <c r="A309" s="32"/>
      <c r="B309" s="13"/>
      <c r="C309" s="14"/>
      <c r="H309" s="133"/>
      <c r="I309" s="128"/>
      <c r="J309" s="128"/>
      <c r="M309" s="130"/>
      <c r="Q309" s="133"/>
      <c r="R309" s="134"/>
      <c r="S309" s="130"/>
      <c r="T309" s="14"/>
      <c r="U309" s="14"/>
      <c r="V309" s="14"/>
      <c r="W309" s="14"/>
      <c r="X309" s="14"/>
      <c r="Y309" s="14"/>
      <c r="Z309" s="14"/>
      <c r="AA309" s="14"/>
    </row>
    <row r="310" spans="1:27" s="60" customFormat="1">
      <c r="A310" s="32"/>
      <c r="B310" s="13"/>
      <c r="C310" s="14"/>
      <c r="H310" s="133"/>
      <c r="I310" s="128"/>
      <c r="J310" s="128"/>
      <c r="M310" s="130"/>
      <c r="Q310" s="133"/>
      <c r="R310" s="134"/>
      <c r="S310" s="130"/>
      <c r="T310" s="14"/>
      <c r="U310" s="14"/>
      <c r="V310" s="14"/>
      <c r="W310" s="14"/>
      <c r="X310" s="14"/>
      <c r="Y310" s="14"/>
      <c r="Z310" s="14"/>
      <c r="AA310" s="14"/>
    </row>
    <row r="311" spans="1:27" s="60" customFormat="1">
      <c r="A311" s="32"/>
      <c r="B311" s="13"/>
      <c r="C311" s="14"/>
      <c r="H311" s="133"/>
      <c r="I311" s="128"/>
      <c r="J311" s="128"/>
      <c r="M311" s="130"/>
      <c r="Q311" s="133"/>
      <c r="R311" s="134"/>
      <c r="S311" s="130"/>
      <c r="T311" s="14"/>
      <c r="U311" s="14"/>
      <c r="V311" s="14"/>
      <c r="W311" s="14"/>
      <c r="X311" s="14"/>
      <c r="Y311" s="14"/>
      <c r="Z311" s="14"/>
      <c r="AA311" s="14"/>
    </row>
    <row r="312" spans="1:27" s="60" customFormat="1">
      <c r="A312" s="32"/>
      <c r="B312" s="13"/>
      <c r="C312" s="14"/>
      <c r="H312" s="133"/>
      <c r="I312" s="128"/>
      <c r="J312" s="128"/>
      <c r="M312" s="130"/>
      <c r="Q312" s="133"/>
      <c r="R312" s="134"/>
      <c r="S312" s="130"/>
      <c r="T312" s="14"/>
      <c r="U312" s="14"/>
      <c r="V312" s="14"/>
      <c r="W312" s="14"/>
      <c r="X312" s="14"/>
      <c r="Y312" s="14"/>
      <c r="Z312" s="14"/>
      <c r="AA312" s="14"/>
    </row>
    <row r="313" spans="1:27" s="60" customFormat="1">
      <c r="A313" s="32"/>
      <c r="B313" s="13"/>
      <c r="C313" s="14"/>
      <c r="H313" s="133"/>
      <c r="I313" s="128"/>
      <c r="J313" s="128"/>
      <c r="M313" s="130"/>
      <c r="Q313" s="133"/>
      <c r="R313" s="134"/>
      <c r="S313" s="130"/>
      <c r="T313" s="14"/>
      <c r="U313" s="14"/>
      <c r="V313" s="14"/>
      <c r="W313" s="14"/>
      <c r="X313" s="14"/>
      <c r="Y313" s="14"/>
      <c r="Z313" s="14"/>
      <c r="AA313" s="14"/>
    </row>
    <row r="314" spans="1:27" s="60" customFormat="1">
      <c r="A314" s="32"/>
      <c r="B314" s="13"/>
      <c r="C314" s="14"/>
      <c r="H314" s="133"/>
      <c r="I314" s="128"/>
      <c r="J314" s="128"/>
      <c r="M314" s="130"/>
      <c r="Q314" s="133"/>
      <c r="R314" s="134"/>
      <c r="S314" s="130"/>
      <c r="T314" s="14"/>
      <c r="U314" s="14"/>
      <c r="V314" s="14"/>
      <c r="W314" s="14"/>
      <c r="X314" s="14"/>
      <c r="Y314" s="14"/>
      <c r="Z314" s="14"/>
      <c r="AA314" s="14"/>
    </row>
    <row r="315" spans="1:27" s="60" customFormat="1">
      <c r="A315" s="32"/>
      <c r="B315" s="13"/>
      <c r="C315" s="14"/>
      <c r="H315" s="133"/>
      <c r="I315" s="128"/>
      <c r="J315" s="128"/>
      <c r="M315" s="130"/>
      <c r="Q315" s="133"/>
      <c r="R315" s="134"/>
      <c r="S315" s="130"/>
      <c r="T315" s="14"/>
      <c r="U315" s="14"/>
      <c r="V315" s="14"/>
      <c r="W315" s="14"/>
      <c r="X315" s="14"/>
      <c r="Y315" s="14"/>
      <c r="Z315" s="14"/>
      <c r="AA315" s="14"/>
    </row>
    <row r="316" spans="1:27" s="60" customFormat="1">
      <c r="A316" s="32"/>
      <c r="B316" s="13"/>
      <c r="C316" s="14"/>
      <c r="H316" s="133"/>
      <c r="I316" s="128"/>
      <c r="J316" s="128"/>
      <c r="M316" s="130"/>
      <c r="Q316" s="133"/>
      <c r="R316" s="134"/>
      <c r="S316" s="130"/>
      <c r="T316" s="14"/>
      <c r="U316" s="14"/>
      <c r="V316" s="14"/>
      <c r="W316" s="14"/>
      <c r="X316" s="14"/>
      <c r="Y316" s="14"/>
      <c r="Z316" s="14"/>
      <c r="AA316" s="14"/>
    </row>
    <row r="317" spans="1:27" s="60" customFormat="1">
      <c r="A317" s="32"/>
      <c r="B317" s="13"/>
      <c r="C317" s="14"/>
      <c r="H317" s="133"/>
      <c r="I317" s="128"/>
      <c r="J317" s="128"/>
      <c r="M317" s="130"/>
      <c r="Q317" s="133"/>
      <c r="R317" s="134"/>
      <c r="S317" s="130"/>
      <c r="T317" s="14"/>
      <c r="U317" s="14"/>
      <c r="V317" s="14"/>
      <c r="W317" s="14"/>
      <c r="X317" s="14"/>
      <c r="Y317" s="14"/>
      <c r="Z317" s="14"/>
      <c r="AA317" s="14"/>
    </row>
    <row r="318" spans="1:27" s="60" customFormat="1">
      <c r="A318" s="32"/>
      <c r="B318" s="13"/>
      <c r="C318" s="14"/>
      <c r="H318" s="133"/>
      <c r="I318" s="128"/>
      <c r="J318" s="128"/>
      <c r="M318" s="130"/>
      <c r="Q318" s="133"/>
      <c r="R318" s="134"/>
      <c r="S318" s="130"/>
      <c r="T318" s="14"/>
      <c r="U318" s="14"/>
      <c r="V318" s="14"/>
      <c r="W318" s="14"/>
      <c r="X318" s="14"/>
      <c r="Y318" s="14"/>
      <c r="Z318" s="14"/>
      <c r="AA318" s="14"/>
    </row>
    <row r="319" spans="1:27" s="60" customFormat="1">
      <c r="A319" s="32"/>
      <c r="B319" s="13"/>
      <c r="C319" s="14"/>
      <c r="H319" s="133"/>
      <c r="I319" s="128"/>
      <c r="J319" s="128"/>
      <c r="M319" s="130"/>
      <c r="Q319" s="133"/>
      <c r="R319" s="134"/>
      <c r="S319" s="130"/>
      <c r="T319" s="14"/>
      <c r="U319" s="14"/>
      <c r="V319" s="14"/>
      <c r="W319" s="14"/>
      <c r="X319" s="14"/>
      <c r="Y319" s="14"/>
      <c r="Z319" s="14"/>
      <c r="AA319" s="14"/>
    </row>
    <row r="320" spans="1:27" s="60" customFormat="1">
      <c r="A320" s="32"/>
      <c r="B320" s="13"/>
      <c r="C320" s="14"/>
      <c r="H320" s="133"/>
      <c r="I320" s="128"/>
      <c r="J320" s="128"/>
      <c r="M320" s="130"/>
      <c r="Q320" s="133"/>
      <c r="R320" s="134"/>
      <c r="S320" s="130"/>
      <c r="T320" s="14"/>
      <c r="U320" s="14"/>
      <c r="V320" s="14"/>
      <c r="W320" s="14"/>
      <c r="X320" s="14"/>
      <c r="Y320" s="14"/>
      <c r="Z320" s="14"/>
      <c r="AA320" s="14"/>
    </row>
    <row r="321" spans="1:27" s="60" customFormat="1">
      <c r="A321" s="32"/>
      <c r="B321" s="13"/>
      <c r="C321" s="14"/>
      <c r="H321" s="133"/>
      <c r="I321" s="128"/>
      <c r="J321" s="128"/>
      <c r="M321" s="130"/>
      <c r="Q321" s="133"/>
      <c r="R321" s="134"/>
      <c r="S321" s="130"/>
      <c r="T321" s="14"/>
      <c r="U321" s="14"/>
      <c r="V321" s="14"/>
      <c r="W321" s="14"/>
      <c r="X321" s="14"/>
      <c r="Y321" s="14"/>
      <c r="Z321" s="14"/>
      <c r="AA321" s="14"/>
    </row>
    <row r="322" spans="1:27" s="60" customFormat="1">
      <c r="A322" s="32"/>
      <c r="B322" s="13"/>
      <c r="C322" s="14"/>
      <c r="H322" s="133"/>
      <c r="I322" s="128"/>
      <c r="J322" s="128"/>
      <c r="M322" s="130"/>
      <c r="Q322" s="133"/>
      <c r="R322" s="134"/>
      <c r="S322" s="130"/>
      <c r="T322" s="14"/>
      <c r="U322" s="14"/>
      <c r="V322" s="14"/>
      <c r="W322" s="14"/>
      <c r="X322" s="14"/>
      <c r="Y322" s="14"/>
      <c r="Z322" s="14"/>
      <c r="AA322" s="14"/>
    </row>
    <row r="323" spans="1:27" s="60" customFormat="1">
      <c r="A323" s="32"/>
      <c r="B323" s="13"/>
      <c r="C323" s="14"/>
      <c r="H323" s="133"/>
      <c r="I323" s="128"/>
      <c r="J323" s="128"/>
      <c r="M323" s="130"/>
      <c r="Q323" s="133"/>
      <c r="R323" s="134"/>
      <c r="S323" s="130"/>
      <c r="T323" s="14"/>
      <c r="U323" s="14"/>
      <c r="V323" s="14"/>
      <c r="W323" s="14"/>
      <c r="X323" s="14"/>
      <c r="Y323" s="14"/>
      <c r="Z323" s="14"/>
      <c r="AA323" s="14"/>
    </row>
    <row r="324" spans="1:27" s="60" customFormat="1">
      <c r="A324" s="32"/>
      <c r="B324" s="13"/>
      <c r="C324" s="14"/>
      <c r="H324" s="133"/>
      <c r="I324" s="128"/>
      <c r="J324" s="128"/>
      <c r="M324" s="130"/>
      <c r="Q324" s="133"/>
      <c r="R324" s="134"/>
      <c r="S324" s="130"/>
      <c r="T324" s="14"/>
      <c r="U324" s="14"/>
      <c r="V324" s="14"/>
      <c r="W324" s="14"/>
      <c r="X324" s="14"/>
      <c r="Y324" s="14"/>
      <c r="Z324" s="14"/>
      <c r="AA324" s="14"/>
    </row>
    <row r="325" spans="1:27" s="60" customFormat="1">
      <c r="A325" s="32"/>
      <c r="B325" s="13"/>
      <c r="C325" s="14"/>
      <c r="H325" s="133"/>
      <c r="I325" s="128"/>
      <c r="J325" s="128"/>
      <c r="M325" s="130"/>
      <c r="Q325" s="133"/>
      <c r="R325" s="134"/>
      <c r="S325" s="130"/>
      <c r="T325" s="14"/>
      <c r="U325" s="14"/>
      <c r="V325" s="14"/>
      <c r="W325" s="14"/>
      <c r="X325" s="14"/>
      <c r="Y325" s="14"/>
      <c r="Z325" s="14"/>
      <c r="AA325" s="14"/>
    </row>
    <row r="326" spans="1:27" s="60" customFormat="1">
      <c r="A326" s="32"/>
      <c r="B326" s="13"/>
      <c r="C326" s="14"/>
      <c r="H326" s="133"/>
      <c r="I326" s="128"/>
      <c r="J326" s="128"/>
      <c r="M326" s="130"/>
      <c r="Q326" s="133"/>
      <c r="R326" s="134"/>
      <c r="S326" s="130"/>
      <c r="T326" s="14"/>
      <c r="U326" s="14"/>
      <c r="V326" s="14"/>
      <c r="W326" s="14"/>
      <c r="X326" s="14"/>
      <c r="Y326" s="14"/>
      <c r="Z326" s="14"/>
      <c r="AA326" s="14"/>
    </row>
    <row r="327" spans="1:27" s="60" customFormat="1">
      <c r="A327" s="32"/>
      <c r="B327" s="13"/>
      <c r="C327" s="14"/>
      <c r="H327" s="133"/>
      <c r="I327" s="128"/>
      <c r="J327" s="128"/>
      <c r="M327" s="130"/>
      <c r="Q327" s="133"/>
      <c r="R327" s="134"/>
      <c r="S327" s="130"/>
      <c r="T327" s="14"/>
      <c r="U327" s="14"/>
      <c r="V327" s="14"/>
      <c r="W327" s="14"/>
      <c r="X327" s="14"/>
      <c r="Y327" s="14"/>
      <c r="Z327" s="14"/>
      <c r="AA327" s="14"/>
    </row>
    <row r="328" spans="1:27" s="60" customFormat="1">
      <c r="A328" s="32"/>
      <c r="B328" s="13"/>
      <c r="C328" s="14"/>
      <c r="H328" s="133"/>
      <c r="I328" s="128"/>
      <c r="J328" s="128"/>
      <c r="M328" s="130"/>
      <c r="Q328" s="133"/>
      <c r="R328" s="134"/>
      <c r="S328" s="130"/>
      <c r="T328" s="14"/>
      <c r="U328" s="14"/>
      <c r="V328" s="14"/>
      <c r="W328" s="14"/>
      <c r="X328" s="14"/>
      <c r="Y328" s="14"/>
      <c r="Z328" s="14"/>
      <c r="AA328" s="14"/>
    </row>
    <row r="329" spans="1:27" s="60" customFormat="1">
      <c r="A329" s="32"/>
      <c r="B329" s="13"/>
      <c r="C329" s="14"/>
      <c r="H329" s="133"/>
      <c r="I329" s="128"/>
      <c r="J329" s="128"/>
      <c r="M329" s="130"/>
      <c r="Q329" s="133"/>
      <c r="R329" s="134"/>
      <c r="S329" s="130"/>
      <c r="T329" s="14"/>
      <c r="U329" s="14"/>
      <c r="V329" s="14"/>
      <c r="W329" s="14"/>
      <c r="X329" s="14"/>
      <c r="Y329" s="14"/>
      <c r="Z329" s="14"/>
      <c r="AA329" s="14"/>
    </row>
    <row r="330" spans="1:27" s="60" customFormat="1">
      <c r="A330" s="32"/>
      <c r="B330" s="13"/>
      <c r="C330" s="14"/>
      <c r="H330" s="133"/>
      <c r="I330" s="128"/>
      <c r="J330" s="128"/>
      <c r="M330" s="130"/>
      <c r="Q330" s="133"/>
      <c r="R330" s="134"/>
      <c r="S330" s="130"/>
      <c r="T330" s="14"/>
      <c r="U330" s="14"/>
      <c r="V330" s="14"/>
      <c r="W330" s="14"/>
      <c r="X330" s="14"/>
      <c r="Y330" s="14"/>
      <c r="Z330" s="14"/>
      <c r="AA330" s="14"/>
    </row>
    <row r="331" spans="1:27" s="60" customFormat="1">
      <c r="A331" s="32"/>
      <c r="B331" s="13"/>
      <c r="C331" s="14"/>
      <c r="H331" s="133"/>
      <c r="I331" s="128"/>
      <c r="J331" s="128"/>
      <c r="M331" s="130"/>
      <c r="Q331" s="133"/>
      <c r="R331" s="134"/>
      <c r="S331" s="130"/>
      <c r="T331" s="14"/>
      <c r="U331" s="14"/>
      <c r="V331" s="14"/>
      <c r="W331" s="14"/>
      <c r="X331" s="14"/>
      <c r="Y331" s="14"/>
      <c r="Z331" s="14"/>
      <c r="AA331" s="14"/>
    </row>
    <row r="332" spans="1:27" s="60" customFormat="1">
      <c r="A332" s="32"/>
      <c r="B332" s="13"/>
      <c r="C332" s="14"/>
      <c r="H332" s="133"/>
      <c r="I332" s="128"/>
      <c r="J332" s="128"/>
      <c r="M332" s="130"/>
      <c r="Q332" s="133"/>
      <c r="R332" s="134"/>
      <c r="S332" s="130"/>
      <c r="T332" s="14"/>
      <c r="U332" s="14"/>
      <c r="V332" s="14"/>
      <c r="W332" s="14"/>
      <c r="X332" s="14"/>
      <c r="Y332" s="14"/>
      <c r="Z332" s="14"/>
      <c r="AA332" s="14"/>
    </row>
    <row r="333" spans="1:27" s="60" customFormat="1">
      <c r="A333" s="32"/>
      <c r="B333" s="13"/>
      <c r="C333" s="14"/>
      <c r="H333" s="133"/>
      <c r="I333" s="128"/>
      <c r="J333" s="128"/>
      <c r="M333" s="130"/>
      <c r="Q333" s="133"/>
      <c r="R333" s="134"/>
      <c r="S333" s="130"/>
      <c r="T333" s="14"/>
      <c r="U333" s="14"/>
      <c r="V333" s="14"/>
      <c r="W333" s="14"/>
      <c r="X333" s="14"/>
      <c r="Y333" s="14"/>
      <c r="Z333" s="14"/>
      <c r="AA333" s="14"/>
    </row>
    <row r="334" spans="1:27" s="60" customFormat="1">
      <c r="A334" s="32"/>
      <c r="B334" s="13"/>
      <c r="C334" s="14"/>
      <c r="H334" s="133"/>
      <c r="I334" s="128"/>
      <c r="J334" s="128"/>
      <c r="M334" s="130"/>
      <c r="Q334" s="133"/>
      <c r="R334" s="134"/>
      <c r="S334" s="130"/>
      <c r="T334" s="14"/>
      <c r="U334" s="14"/>
      <c r="V334" s="14"/>
      <c r="W334" s="14"/>
      <c r="X334" s="14"/>
      <c r="Y334" s="14"/>
      <c r="Z334" s="14"/>
      <c r="AA334" s="14"/>
    </row>
    <row r="335" spans="1:27" s="60" customFormat="1">
      <c r="A335" s="32"/>
      <c r="B335" s="13"/>
      <c r="C335" s="14"/>
      <c r="H335" s="133"/>
      <c r="I335" s="128"/>
      <c r="J335" s="128"/>
      <c r="M335" s="130"/>
      <c r="Q335" s="133"/>
      <c r="R335" s="134"/>
      <c r="S335" s="130"/>
      <c r="T335" s="14"/>
      <c r="U335" s="14"/>
      <c r="V335" s="14"/>
      <c r="W335" s="14"/>
      <c r="X335" s="14"/>
      <c r="Y335" s="14"/>
      <c r="Z335" s="14"/>
      <c r="AA335" s="14"/>
    </row>
    <row r="336" spans="1:27" s="60" customFormat="1">
      <c r="A336" s="32"/>
      <c r="B336" s="13"/>
      <c r="C336" s="14"/>
      <c r="H336" s="133"/>
      <c r="I336" s="128"/>
      <c r="J336" s="128"/>
      <c r="M336" s="130"/>
      <c r="Q336" s="133"/>
      <c r="R336" s="134"/>
      <c r="S336" s="130"/>
      <c r="T336" s="14"/>
      <c r="U336" s="14"/>
      <c r="V336" s="14"/>
      <c r="W336" s="14"/>
      <c r="X336" s="14"/>
      <c r="Y336" s="14"/>
      <c r="Z336" s="14"/>
      <c r="AA336" s="14"/>
    </row>
    <row r="337" spans="1:27" s="60" customFormat="1">
      <c r="A337" s="32"/>
      <c r="B337" s="13"/>
      <c r="C337" s="14"/>
      <c r="H337" s="133"/>
      <c r="I337" s="128"/>
      <c r="J337" s="128"/>
      <c r="M337" s="130"/>
      <c r="Q337" s="133"/>
      <c r="R337" s="134"/>
      <c r="S337" s="130"/>
      <c r="T337" s="14"/>
      <c r="U337" s="14"/>
      <c r="V337" s="14"/>
      <c r="W337" s="14"/>
      <c r="X337" s="14"/>
      <c r="Y337" s="14"/>
      <c r="Z337" s="14"/>
      <c r="AA337" s="14"/>
    </row>
    <row r="338" spans="1:27" s="60" customFormat="1">
      <c r="A338" s="32"/>
      <c r="B338" s="13"/>
      <c r="C338" s="14"/>
      <c r="H338" s="133"/>
      <c r="I338" s="128"/>
      <c r="J338" s="128"/>
      <c r="M338" s="130"/>
      <c r="Q338" s="133"/>
      <c r="R338" s="134"/>
      <c r="S338" s="130"/>
      <c r="T338" s="14"/>
      <c r="U338" s="14"/>
      <c r="V338" s="14"/>
      <c r="W338" s="14"/>
      <c r="X338" s="14"/>
      <c r="Y338" s="14"/>
      <c r="Z338" s="14"/>
      <c r="AA338" s="14"/>
    </row>
    <row r="339" spans="1:27" s="60" customFormat="1">
      <c r="A339" s="32"/>
      <c r="B339" s="13"/>
      <c r="C339" s="14"/>
      <c r="H339" s="133"/>
      <c r="I339" s="128"/>
      <c r="J339" s="128"/>
      <c r="M339" s="130"/>
      <c r="Q339" s="133"/>
      <c r="R339" s="134"/>
      <c r="S339" s="130"/>
      <c r="T339" s="14"/>
      <c r="U339" s="14"/>
      <c r="V339" s="14"/>
      <c r="W339" s="14"/>
      <c r="X339" s="14"/>
      <c r="Y339" s="14"/>
      <c r="Z339" s="14"/>
      <c r="AA339" s="14"/>
    </row>
    <row r="340" spans="1:27" s="60" customFormat="1">
      <c r="A340" s="32"/>
      <c r="B340" s="13"/>
      <c r="C340" s="14"/>
      <c r="H340" s="133"/>
      <c r="I340" s="128"/>
      <c r="J340" s="128"/>
      <c r="M340" s="130"/>
      <c r="Q340" s="133"/>
      <c r="R340" s="134"/>
      <c r="S340" s="130"/>
      <c r="T340" s="14"/>
      <c r="U340" s="14"/>
      <c r="V340" s="14"/>
      <c r="W340" s="14"/>
      <c r="X340" s="14"/>
      <c r="Y340" s="14"/>
      <c r="Z340" s="14"/>
      <c r="AA340" s="14"/>
    </row>
    <row r="341" spans="1:27" s="60" customFormat="1">
      <c r="A341" s="32"/>
      <c r="B341" s="13"/>
      <c r="C341" s="14"/>
      <c r="H341" s="133"/>
      <c r="I341" s="128"/>
      <c r="J341" s="128"/>
      <c r="M341" s="130"/>
      <c r="Q341" s="133"/>
      <c r="R341" s="134"/>
      <c r="S341" s="130"/>
      <c r="T341" s="14"/>
      <c r="U341" s="14"/>
      <c r="V341" s="14"/>
      <c r="W341" s="14"/>
      <c r="X341" s="14"/>
      <c r="Y341" s="14"/>
      <c r="Z341" s="14"/>
      <c r="AA341" s="14"/>
    </row>
    <row r="342" spans="1:27" s="60" customFormat="1">
      <c r="A342" s="32"/>
      <c r="B342" s="13"/>
      <c r="C342" s="14"/>
      <c r="H342" s="133"/>
      <c r="I342" s="128"/>
      <c r="J342" s="128"/>
      <c r="M342" s="130"/>
      <c r="Q342" s="133"/>
      <c r="R342" s="134"/>
      <c r="S342" s="130"/>
      <c r="T342" s="14"/>
      <c r="U342" s="14"/>
      <c r="V342" s="14"/>
      <c r="W342" s="14"/>
      <c r="X342" s="14"/>
      <c r="Y342" s="14"/>
      <c r="Z342" s="14"/>
      <c r="AA342" s="14"/>
    </row>
    <row r="343" spans="1:27" s="60" customFormat="1">
      <c r="A343" s="32"/>
      <c r="B343" s="13"/>
      <c r="C343" s="14"/>
      <c r="H343" s="133"/>
      <c r="I343" s="128"/>
      <c r="J343" s="128"/>
      <c r="M343" s="130"/>
      <c r="Q343" s="133"/>
      <c r="R343" s="134"/>
      <c r="S343" s="130"/>
      <c r="T343" s="14"/>
      <c r="U343" s="14"/>
      <c r="V343" s="14"/>
      <c r="W343" s="14"/>
      <c r="X343" s="14"/>
      <c r="Y343" s="14"/>
      <c r="Z343" s="14"/>
      <c r="AA343" s="14"/>
    </row>
    <row r="344" spans="1:27" s="60" customFormat="1">
      <c r="A344" s="32"/>
      <c r="B344" s="13"/>
      <c r="C344" s="14"/>
      <c r="H344" s="133"/>
      <c r="I344" s="128"/>
      <c r="J344" s="128"/>
      <c r="M344" s="130"/>
      <c r="Q344" s="133"/>
      <c r="R344" s="134"/>
      <c r="S344" s="130"/>
      <c r="T344" s="14"/>
      <c r="U344" s="14"/>
      <c r="V344" s="14"/>
      <c r="W344" s="14"/>
      <c r="X344" s="14"/>
      <c r="Y344" s="14"/>
      <c r="Z344" s="14"/>
      <c r="AA344" s="14"/>
    </row>
    <row r="345" spans="1:27" s="60" customFormat="1">
      <c r="A345" s="32"/>
      <c r="B345" s="13"/>
      <c r="C345" s="14"/>
      <c r="H345" s="133"/>
      <c r="I345" s="128"/>
      <c r="J345" s="128"/>
      <c r="M345" s="130"/>
      <c r="Q345" s="133"/>
      <c r="R345" s="134"/>
      <c r="S345" s="130"/>
      <c r="T345" s="14"/>
      <c r="U345" s="14"/>
      <c r="V345" s="14"/>
      <c r="W345" s="14"/>
      <c r="X345" s="14"/>
      <c r="Y345" s="14"/>
      <c r="Z345" s="14"/>
      <c r="AA345" s="14"/>
    </row>
    <row r="346" spans="1:27" s="60" customFormat="1">
      <c r="A346" s="32"/>
      <c r="B346" s="13"/>
      <c r="C346" s="14"/>
      <c r="H346" s="133"/>
      <c r="I346" s="128"/>
      <c r="J346" s="128"/>
      <c r="M346" s="130"/>
      <c r="Q346" s="133"/>
      <c r="R346" s="134"/>
      <c r="S346" s="130"/>
      <c r="T346" s="14"/>
      <c r="U346" s="14"/>
      <c r="V346" s="14"/>
      <c r="W346" s="14"/>
      <c r="X346" s="14"/>
      <c r="Y346" s="14"/>
      <c r="Z346" s="14"/>
      <c r="AA346" s="14"/>
    </row>
    <row r="347" spans="1:27" s="60" customFormat="1">
      <c r="A347" s="32"/>
      <c r="B347" s="13"/>
      <c r="C347" s="14"/>
      <c r="H347" s="133"/>
      <c r="I347" s="128"/>
      <c r="J347" s="128"/>
      <c r="M347" s="130"/>
      <c r="Q347" s="133"/>
      <c r="R347" s="134"/>
      <c r="S347" s="130"/>
      <c r="T347" s="14"/>
      <c r="U347" s="14"/>
      <c r="V347" s="14"/>
      <c r="W347" s="14"/>
      <c r="X347" s="14"/>
      <c r="Y347" s="14"/>
      <c r="Z347" s="14"/>
      <c r="AA347" s="14"/>
    </row>
    <row r="348" spans="1:27" s="60" customFormat="1">
      <c r="A348" s="32"/>
      <c r="B348" s="13"/>
      <c r="C348" s="14"/>
      <c r="H348" s="133"/>
      <c r="I348" s="128"/>
      <c r="J348" s="128"/>
      <c r="M348" s="130"/>
      <c r="Q348" s="133"/>
      <c r="R348" s="134"/>
      <c r="S348" s="130"/>
      <c r="T348" s="14"/>
      <c r="U348" s="14"/>
      <c r="V348" s="14"/>
      <c r="W348" s="14"/>
      <c r="X348" s="14"/>
      <c r="Y348" s="14"/>
      <c r="Z348" s="14"/>
      <c r="AA348" s="14"/>
    </row>
    <row r="349" spans="1:27" s="60" customFormat="1">
      <c r="A349" s="32"/>
      <c r="B349" s="13"/>
      <c r="C349" s="14"/>
      <c r="H349" s="133"/>
      <c r="I349" s="128"/>
      <c r="J349" s="128"/>
      <c r="M349" s="130"/>
      <c r="Q349" s="133"/>
      <c r="R349" s="134"/>
      <c r="S349" s="130"/>
      <c r="T349" s="14"/>
      <c r="U349" s="14"/>
      <c r="V349" s="14"/>
      <c r="W349" s="14"/>
      <c r="X349" s="14"/>
      <c r="Y349" s="14"/>
      <c r="Z349" s="14"/>
      <c r="AA349" s="14"/>
    </row>
    <row r="350" spans="1:27" s="60" customFormat="1">
      <c r="A350" s="32"/>
      <c r="B350" s="13"/>
      <c r="C350" s="14"/>
      <c r="H350" s="133"/>
      <c r="I350" s="128"/>
      <c r="J350" s="128"/>
      <c r="M350" s="130"/>
      <c r="Q350" s="133"/>
      <c r="R350" s="134"/>
      <c r="S350" s="130"/>
      <c r="T350" s="14"/>
      <c r="U350" s="14"/>
      <c r="V350" s="14"/>
      <c r="W350" s="14"/>
      <c r="X350" s="14"/>
      <c r="Y350" s="14"/>
      <c r="Z350" s="14"/>
      <c r="AA350" s="14"/>
    </row>
    <row r="351" spans="1:27" s="60" customFormat="1">
      <c r="A351" s="32"/>
      <c r="B351" s="13"/>
      <c r="C351" s="14"/>
      <c r="H351" s="133"/>
      <c r="I351" s="128"/>
      <c r="J351" s="128"/>
      <c r="M351" s="130"/>
      <c r="Q351" s="133"/>
      <c r="R351" s="134"/>
      <c r="S351" s="130"/>
      <c r="T351" s="14"/>
      <c r="U351" s="14"/>
      <c r="V351" s="14"/>
      <c r="W351" s="14"/>
      <c r="X351" s="14"/>
      <c r="Y351" s="14"/>
      <c r="Z351" s="14"/>
      <c r="AA351" s="14"/>
    </row>
    <row r="352" spans="1:27" s="60" customFormat="1">
      <c r="A352" s="32"/>
      <c r="B352" s="13"/>
      <c r="C352" s="14"/>
      <c r="H352" s="133"/>
      <c r="I352" s="128"/>
      <c r="J352" s="128"/>
      <c r="M352" s="130"/>
      <c r="Q352" s="133"/>
      <c r="R352" s="134"/>
      <c r="S352" s="130"/>
      <c r="T352" s="14"/>
      <c r="U352" s="14"/>
      <c r="V352" s="14"/>
      <c r="W352" s="14"/>
      <c r="X352" s="14"/>
      <c r="Y352" s="14"/>
      <c r="Z352" s="14"/>
      <c r="AA352" s="14"/>
    </row>
    <row r="353" spans="1:27" s="60" customFormat="1">
      <c r="A353" s="32"/>
      <c r="B353" s="13"/>
      <c r="C353" s="14"/>
      <c r="H353" s="133"/>
      <c r="I353" s="128"/>
      <c r="J353" s="128"/>
      <c r="M353" s="130"/>
      <c r="Q353" s="133"/>
      <c r="R353" s="134"/>
      <c r="S353" s="130"/>
      <c r="T353" s="14"/>
      <c r="U353" s="14"/>
      <c r="V353" s="14"/>
      <c r="W353" s="14"/>
      <c r="X353" s="14"/>
      <c r="Y353" s="14"/>
      <c r="Z353" s="14"/>
      <c r="AA353" s="14"/>
    </row>
    <row r="354" spans="1:27" s="60" customFormat="1">
      <c r="A354" s="32"/>
      <c r="B354" s="13"/>
      <c r="C354" s="14"/>
      <c r="H354" s="133"/>
      <c r="I354" s="128"/>
      <c r="J354" s="128"/>
      <c r="M354" s="130"/>
      <c r="Q354" s="133"/>
      <c r="R354" s="134"/>
      <c r="S354" s="130"/>
      <c r="T354" s="14"/>
      <c r="U354" s="14"/>
      <c r="V354" s="14"/>
      <c r="W354" s="14"/>
      <c r="X354" s="14"/>
      <c r="Y354" s="14"/>
      <c r="Z354" s="14"/>
      <c r="AA354" s="14"/>
    </row>
    <row r="355" spans="1:27" s="60" customFormat="1">
      <c r="A355" s="32"/>
      <c r="B355" s="13"/>
      <c r="C355" s="14"/>
      <c r="H355" s="133"/>
      <c r="I355" s="128"/>
      <c r="J355" s="128"/>
      <c r="M355" s="130"/>
      <c r="Q355" s="133"/>
      <c r="R355" s="134"/>
      <c r="S355" s="130"/>
      <c r="T355" s="14"/>
      <c r="U355" s="14"/>
      <c r="V355" s="14"/>
      <c r="W355" s="14"/>
      <c r="X355" s="14"/>
      <c r="Y355" s="14"/>
      <c r="Z355" s="14"/>
      <c r="AA355" s="14"/>
    </row>
    <row r="356" spans="1:27" s="60" customFormat="1">
      <c r="A356" s="32"/>
      <c r="B356" s="13"/>
      <c r="C356" s="14"/>
      <c r="H356" s="133"/>
      <c r="I356" s="128"/>
      <c r="J356" s="128"/>
      <c r="M356" s="130"/>
      <c r="Q356" s="133"/>
      <c r="R356" s="134"/>
      <c r="S356" s="130"/>
      <c r="T356" s="14"/>
      <c r="U356" s="14"/>
      <c r="V356" s="14"/>
      <c r="W356" s="14"/>
      <c r="X356" s="14"/>
      <c r="Y356" s="14"/>
      <c r="Z356" s="14"/>
      <c r="AA356" s="14"/>
    </row>
    <row r="357" spans="1:27" s="60" customFormat="1">
      <c r="A357" s="32"/>
      <c r="B357" s="13"/>
      <c r="C357" s="14"/>
      <c r="H357" s="133"/>
      <c r="I357" s="128"/>
      <c r="J357" s="128"/>
      <c r="M357" s="130"/>
      <c r="Q357" s="133"/>
      <c r="R357" s="134"/>
      <c r="S357" s="130"/>
      <c r="T357" s="14"/>
      <c r="U357" s="14"/>
      <c r="V357" s="14"/>
      <c r="W357" s="14"/>
      <c r="X357" s="14"/>
      <c r="Y357" s="14"/>
      <c r="Z357" s="14"/>
      <c r="AA357" s="14"/>
    </row>
    <row r="358" spans="1:27" s="60" customFormat="1">
      <c r="A358" s="32"/>
      <c r="B358" s="13"/>
      <c r="C358" s="14"/>
      <c r="H358" s="133"/>
      <c r="I358" s="128"/>
      <c r="J358" s="128"/>
      <c r="M358" s="130"/>
      <c r="Q358" s="133"/>
      <c r="R358" s="134"/>
      <c r="S358" s="130"/>
      <c r="T358" s="14"/>
      <c r="U358" s="14"/>
      <c r="V358" s="14"/>
      <c r="W358" s="14"/>
      <c r="X358" s="14"/>
      <c r="Y358" s="14"/>
      <c r="Z358" s="14"/>
      <c r="AA358" s="14"/>
    </row>
    <row r="359" spans="1:27" s="60" customFormat="1">
      <c r="A359" s="32"/>
      <c r="B359" s="13"/>
      <c r="C359" s="14"/>
      <c r="H359" s="133"/>
      <c r="I359" s="128"/>
      <c r="J359" s="128"/>
      <c r="M359" s="130"/>
      <c r="Q359" s="133"/>
      <c r="R359" s="134"/>
      <c r="S359" s="130"/>
      <c r="T359" s="14"/>
      <c r="U359" s="14"/>
      <c r="V359" s="14"/>
      <c r="W359" s="14"/>
      <c r="X359" s="14"/>
      <c r="Y359" s="14"/>
      <c r="Z359" s="14"/>
      <c r="AA359" s="14"/>
    </row>
    <row r="360" spans="1:27" s="60" customFormat="1">
      <c r="A360" s="32"/>
      <c r="B360" s="13"/>
      <c r="C360" s="14"/>
      <c r="H360" s="133"/>
      <c r="I360" s="128"/>
      <c r="J360" s="128"/>
      <c r="M360" s="130"/>
      <c r="Q360" s="133"/>
      <c r="R360" s="134"/>
      <c r="S360" s="130"/>
      <c r="T360" s="14"/>
      <c r="U360" s="14"/>
      <c r="V360" s="14"/>
      <c r="W360" s="14"/>
      <c r="X360" s="14"/>
      <c r="Y360" s="14"/>
      <c r="Z360" s="14"/>
      <c r="AA360" s="14"/>
    </row>
    <row r="361" spans="1:27" s="60" customFormat="1">
      <c r="A361" s="32"/>
      <c r="B361" s="13"/>
      <c r="C361" s="14"/>
      <c r="H361" s="133"/>
      <c r="I361" s="128"/>
      <c r="J361" s="128"/>
      <c r="M361" s="130"/>
      <c r="Q361" s="133"/>
      <c r="R361" s="134"/>
      <c r="S361" s="130"/>
      <c r="T361" s="14"/>
      <c r="U361" s="14"/>
      <c r="V361" s="14"/>
      <c r="W361" s="14"/>
      <c r="X361" s="14"/>
      <c r="Y361" s="14"/>
      <c r="Z361" s="14"/>
      <c r="AA361" s="14"/>
    </row>
    <row r="362" spans="1:27" s="60" customFormat="1">
      <c r="A362" s="32"/>
      <c r="B362" s="13"/>
      <c r="C362" s="14"/>
      <c r="H362" s="133"/>
      <c r="I362" s="128"/>
      <c r="J362" s="128"/>
      <c r="M362" s="130"/>
      <c r="Q362" s="133"/>
      <c r="R362" s="134"/>
      <c r="S362" s="130"/>
      <c r="T362" s="14"/>
      <c r="U362" s="14"/>
      <c r="V362" s="14"/>
      <c r="W362" s="14"/>
      <c r="X362" s="14"/>
      <c r="Y362" s="14"/>
      <c r="Z362" s="14"/>
      <c r="AA362" s="14"/>
    </row>
    <row r="363" spans="1:27" s="60" customFormat="1">
      <c r="A363" s="32"/>
      <c r="B363" s="13"/>
      <c r="C363" s="14"/>
      <c r="H363" s="133"/>
      <c r="I363" s="128"/>
      <c r="J363" s="128"/>
      <c r="M363" s="130"/>
      <c r="Q363" s="133"/>
      <c r="R363" s="134"/>
      <c r="S363" s="130"/>
      <c r="T363" s="14"/>
      <c r="U363" s="14"/>
      <c r="V363" s="14"/>
      <c r="W363" s="14"/>
      <c r="X363" s="14"/>
      <c r="Y363" s="14"/>
      <c r="Z363" s="14"/>
      <c r="AA363" s="14"/>
    </row>
    <row r="364" spans="1:27" s="60" customFormat="1">
      <c r="A364" s="32"/>
      <c r="B364" s="13"/>
      <c r="C364" s="14"/>
      <c r="H364" s="133"/>
      <c r="I364" s="128"/>
      <c r="J364" s="128"/>
      <c r="M364" s="130"/>
      <c r="Q364" s="133"/>
      <c r="R364" s="134"/>
      <c r="S364" s="130"/>
      <c r="T364" s="14"/>
      <c r="U364" s="14"/>
      <c r="V364" s="14"/>
      <c r="W364" s="14"/>
      <c r="X364" s="14"/>
      <c r="Y364" s="14"/>
      <c r="Z364" s="14"/>
      <c r="AA364" s="14"/>
    </row>
    <row r="365" spans="1:27" s="60" customFormat="1">
      <c r="A365" s="32"/>
      <c r="B365" s="13"/>
      <c r="C365" s="14"/>
      <c r="H365" s="133"/>
      <c r="I365" s="128"/>
      <c r="J365" s="128"/>
      <c r="M365" s="130"/>
      <c r="Q365" s="133"/>
      <c r="R365" s="134"/>
      <c r="S365" s="130"/>
      <c r="T365" s="14"/>
      <c r="U365" s="14"/>
      <c r="V365" s="14"/>
      <c r="W365" s="14"/>
      <c r="X365" s="14"/>
      <c r="Y365" s="14"/>
      <c r="Z365" s="14"/>
      <c r="AA365" s="14"/>
    </row>
    <row r="366" spans="1:27" s="60" customFormat="1">
      <c r="A366" s="32"/>
      <c r="B366" s="13"/>
      <c r="C366" s="14"/>
      <c r="H366" s="133"/>
      <c r="I366" s="128"/>
      <c r="J366" s="128"/>
      <c r="M366" s="130"/>
      <c r="Q366" s="133"/>
      <c r="R366" s="134"/>
      <c r="S366" s="130"/>
      <c r="T366" s="14"/>
      <c r="U366" s="14"/>
      <c r="V366" s="14"/>
      <c r="W366" s="14"/>
      <c r="X366" s="14"/>
      <c r="Y366" s="14"/>
      <c r="Z366" s="14"/>
      <c r="AA366" s="14"/>
    </row>
    <row r="367" spans="1:27" s="60" customFormat="1">
      <c r="A367" s="32"/>
      <c r="B367" s="13"/>
      <c r="C367" s="14"/>
      <c r="H367" s="133"/>
      <c r="I367" s="128"/>
      <c r="J367" s="128"/>
      <c r="M367" s="130"/>
      <c r="Q367" s="133"/>
      <c r="R367" s="134"/>
      <c r="S367" s="130"/>
      <c r="T367" s="14"/>
      <c r="U367" s="14"/>
      <c r="V367" s="14"/>
      <c r="W367" s="14"/>
      <c r="X367" s="14"/>
      <c r="Y367" s="14"/>
      <c r="Z367" s="14"/>
      <c r="AA367" s="14"/>
    </row>
    <row r="368" spans="1:27" s="60" customFormat="1">
      <c r="A368" s="32"/>
      <c r="B368" s="13"/>
      <c r="C368" s="14"/>
      <c r="H368" s="133"/>
      <c r="I368" s="128"/>
      <c r="J368" s="128"/>
      <c r="M368" s="130"/>
      <c r="Q368" s="133"/>
      <c r="R368" s="134"/>
      <c r="S368" s="130"/>
      <c r="T368" s="14"/>
      <c r="U368" s="14"/>
      <c r="V368" s="14"/>
      <c r="W368" s="14"/>
      <c r="X368" s="14"/>
      <c r="Y368" s="14"/>
      <c r="Z368" s="14"/>
      <c r="AA368" s="14"/>
    </row>
    <row r="369" spans="1:27" s="60" customFormat="1">
      <c r="A369" s="32"/>
      <c r="B369" s="13"/>
      <c r="C369" s="14"/>
      <c r="H369" s="133"/>
      <c r="I369" s="128"/>
      <c r="J369" s="128"/>
      <c r="M369" s="130"/>
      <c r="Q369" s="133"/>
      <c r="R369" s="134"/>
      <c r="S369" s="130"/>
      <c r="T369" s="14"/>
      <c r="U369" s="14"/>
      <c r="V369" s="14"/>
      <c r="W369" s="14"/>
      <c r="X369" s="14"/>
      <c r="Y369" s="14"/>
      <c r="Z369" s="14"/>
      <c r="AA369" s="14"/>
    </row>
    <row r="370" spans="1:27" s="60" customFormat="1">
      <c r="A370" s="32"/>
      <c r="B370" s="13"/>
      <c r="C370" s="14"/>
      <c r="H370" s="133"/>
      <c r="I370" s="128"/>
      <c r="J370" s="128"/>
      <c r="M370" s="130"/>
      <c r="Q370" s="133"/>
      <c r="R370" s="134"/>
      <c r="S370" s="130"/>
      <c r="T370" s="14"/>
      <c r="U370" s="14"/>
      <c r="V370" s="14"/>
      <c r="W370" s="14"/>
      <c r="X370" s="14"/>
      <c r="Y370" s="14"/>
      <c r="Z370" s="14"/>
      <c r="AA370" s="14"/>
    </row>
    <row r="371" spans="1:27" s="60" customFormat="1">
      <c r="A371" s="32"/>
      <c r="B371" s="13"/>
      <c r="C371" s="14"/>
      <c r="H371" s="133"/>
      <c r="I371" s="128"/>
      <c r="J371" s="128"/>
      <c r="M371" s="130"/>
      <c r="Q371" s="133"/>
      <c r="R371" s="134"/>
      <c r="S371" s="130"/>
      <c r="T371" s="14"/>
      <c r="U371" s="14"/>
      <c r="V371" s="14"/>
      <c r="W371" s="14"/>
      <c r="X371" s="14"/>
      <c r="Y371" s="14"/>
      <c r="Z371" s="14"/>
      <c r="AA371" s="14"/>
    </row>
    <row r="372" spans="1:27" s="60" customFormat="1">
      <c r="A372" s="32"/>
      <c r="B372" s="13"/>
      <c r="C372" s="14"/>
      <c r="H372" s="133"/>
      <c r="I372" s="128"/>
      <c r="J372" s="128"/>
      <c r="M372" s="130"/>
      <c r="Q372" s="133"/>
      <c r="R372" s="134"/>
      <c r="S372" s="130"/>
      <c r="T372" s="14"/>
      <c r="U372" s="14"/>
      <c r="V372" s="14"/>
      <c r="W372" s="14"/>
      <c r="X372" s="14"/>
      <c r="Y372" s="14"/>
      <c r="Z372" s="14"/>
      <c r="AA372" s="14"/>
    </row>
    <row r="373" spans="1:27" s="60" customFormat="1">
      <c r="A373" s="32"/>
      <c r="B373" s="13"/>
      <c r="C373" s="14"/>
      <c r="H373" s="133"/>
      <c r="I373" s="128"/>
      <c r="J373" s="128"/>
      <c r="M373" s="130"/>
      <c r="Q373" s="133"/>
      <c r="R373" s="134"/>
      <c r="S373" s="130"/>
      <c r="T373" s="14"/>
      <c r="U373" s="14"/>
      <c r="V373" s="14"/>
      <c r="W373" s="14"/>
      <c r="X373" s="14"/>
      <c r="Y373" s="14"/>
      <c r="Z373" s="14"/>
      <c r="AA373" s="14"/>
    </row>
    <row r="374" spans="1:27" s="60" customFormat="1">
      <c r="A374" s="32"/>
      <c r="B374" s="13"/>
      <c r="C374" s="14"/>
      <c r="H374" s="133"/>
      <c r="I374" s="128"/>
      <c r="J374" s="128"/>
      <c r="M374" s="130"/>
      <c r="Q374" s="133"/>
      <c r="R374" s="134"/>
      <c r="S374" s="130"/>
      <c r="T374" s="14"/>
      <c r="U374" s="14"/>
      <c r="V374" s="14"/>
      <c r="W374" s="14"/>
      <c r="X374" s="14"/>
      <c r="Y374" s="14"/>
      <c r="Z374" s="14"/>
      <c r="AA374" s="14"/>
    </row>
    <row r="375" spans="1:27" s="60" customFormat="1">
      <c r="A375" s="32"/>
      <c r="B375" s="13"/>
      <c r="C375" s="14"/>
      <c r="H375" s="133"/>
      <c r="I375" s="128"/>
      <c r="J375" s="128"/>
      <c r="M375" s="130"/>
      <c r="Q375" s="133"/>
      <c r="R375" s="134"/>
      <c r="S375" s="130"/>
      <c r="T375" s="14"/>
      <c r="U375" s="14"/>
      <c r="V375" s="14"/>
      <c r="W375" s="14"/>
      <c r="X375" s="14"/>
      <c r="Y375" s="14"/>
      <c r="Z375" s="14"/>
      <c r="AA375" s="14"/>
    </row>
    <row r="376" spans="1:27" s="60" customFormat="1">
      <c r="A376" s="32"/>
      <c r="B376" s="13"/>
      <c r="C376" s="14"/>
      <c r="H376" s="133"/>
      <c r="I376" s="128"/>
      <c r="J376" s="128"/>
      <c r="M376" s="130"/>
      <c r="Q376" s="133"/>
      <c r="R376" s="134"/>
      <c r="S376" s="130"/>
      <c r="T376" s="14"/>
      <c r="U376" s="14"/>
      <c r="V376" s="14"/>
      <c r="W376" s="14"/>
      <c r="X376" s="14"/>
      <c r="Y376" s="14"/>
      <c r="Z376" s="14"/>
      <c r="AA376" s="14"/>
    </row>
    <row r="377" spans="1:27" s="60" customFormat="1">
      <c r="A377" s="32"/>
      <c r="B377" s="13"/>
      <c r="C377" s="14"/>
      <c r="H377" s="133"/>
      <c r="I377" s="128"/>
      <c r="J377" s="128"/>
      <c r="M377" s="130"/>
      <c r="Q377" s="133"/>
      <c r="R377" s="134"/>
      <c r="S377" s="130"/>
      <c r="T377" s="14"/>
      <c r="U377" s="14"/>
      <c r="V377" s="14"/>
      <c r="W377" s="14"/>
      <c r="X377" s="14"/>
      <c r="Y377" s="14"/>
      <c r="Z377" s="14"/>
      <c r="AA377" s="14"/>
    </row>
    <row r="378" spans="1:27" s="60" customFormat="1">
      <c r="A378" s="32"/>
      <c r="B378" s="13"/>
      <c r="C378" s="14"/>
      <c r="H378" s="133"/>
      <c r="I378" s="128"/>
      <c r="J378" s="128"/>
      <c r="M378" s="130"/>
      <c r="Q378" s="133"/>
      <c r="R378" s="134"/>
      <c r="S378" s="130"/>
      <c r="T378" s="14"/>
      <c r="U378" s="14"/>
      <c r="V378" s="14"/>
      <c r="W378" s="14"/>
      <c r="X378" s="14"/>
      <c r="Y378" s="14"/>
      <c r="Z378" s="14"/>
      <c r="AA378" s="14"/>
    </row>
    <row r="379" spans="1:27" s="60" customFormat="1">
      <c r="A379" s="32"/>
      <c r="B379" s="13"/>
      <c r="C379" s="14"/>
      <c r="H379" s="133"/>
      <c r="I379" s="128"/>
      <c r="J379" s="128"/>
      <c r="M379" s="130"/>
      <c r="Q379" s="133"/>
      <c r="R379" s="134"/>
      <c r="S379" s="130"/>
      <c r="T379" s="14"/>
      <c r="U379" s="14"/>
      <c r="V379" s="14"/>
      <c r="W379" s="14"/>
      <c r="X379" s="14"/>
      <c r="Y379" s="14"/>
      <c r="Z379" s="14"/>
      <c r="AA379" s="14"/>
    </row>
    <row r="380" spans="1:27" s="60" customFormat="1">
      <c r="A380" s="32"/>
      <c r="B380" s="13"/>
      <c r="C380" s="14"/>
      <c r="H380" s="133"/>
      <c r="I380" s="128"/>
      <c r="J380" s="128"/>
      <c r="M380" s="130"/>
      <c r="Q380" s="133"/>
      <c r="R380" s="134"/>
      <c r="S380" s="130"/>
      <c r="T380" s="14"/>
      <c r="U380" s="14"/>
      <c r="V380" s="14"/>
      <c r="W380" s="14"/>
      <c r="X380" s="14"/>
      <c r="Y380" s="14"/>
      <c r="Z380" s="14"/>
      <c r="AA380" s="14"/>
    </row>
    <row r="381" spans="1:27" s="60" customFormat="1">
      <c r="A381" s="32"/>
      <c r="B381" s="13"/>
      <c r="C381" s="14"/>
      <c r="H381" s="133"/>
      <c r="I381" s="128"/>
      <c r="J381" s="128"/>
      <c r="M381" s="130"/>
      <c r="Q381" s="133"/>
      <c r="R381" s="134"/>
      <c r="S381" s="130"/>
      <c r="T381" s="14"/>
      <c r="U381" s="14"/>
      <c r="V381" s="14"/>
      <c r="W381" s="14"/>
      <c r="X381" s="14"/>
      <c r="Y381" s="14"/>
      <c r="Z381" s="14"/>
      <c r="AA381" s="14"/>
    </row>
    <row r="382" spans="1:27" s="60" customFormat="1">
      <c r="A382" s="32"/>
      <c r="B382" s="13"/>
      <c r="C382" s="14"/>
      <c r="H382" s="133"/>
      <c r="I382" s="128"/>
      <c r="J382" s="128"/>
      <c r="M382" s="130"/>
      <c r="Q382" s="133"/>
      <c r="R382" s="134"/>
      <c r="S382" s="130"/>
      <c r="T382" s="14"/>
      <c r="U382" s="14"/>
      <c r="V382" s="14"/>
      <c r="W382" s="14"/>
      <c r="X382" s="14"/>
      <c r="Y382" s="14"/>
      <c r="Z382" s="14"/>
      <c r="AA382" s="14"/>
    </row>
    <row r="383" spans="1:27" s="60" customFormat="1">
      <c r="A383" s="32"/>
      <c r="B383" s="13"/>
      <c r="C383" s="14"/>
      <c r="H383" s="133"/>
      <c r="I383" s="128"/>
      <c r="J383" s="128"/>
      <c r="M383" s="130"/>
      <c r="Q383" s="133"/>
      <c r="R383" s="134"/>
      <c r="S383" s="130"/>
      <c r="T383" s="14"/>
      <c r="U383" s="14"/>
      <c r="V383" s="14"/>
      <c r="W383" s="14"/>
      <c r="X383" s="14"/>
      <c r="Y383" s="14"/>
      <c r="Z383" s="14"/>
      <c r="AA383" s="14"/>
    </row>
    <row r="384" spans="1:27" s="60" customFormat="1">
      <c r="A384" s="32"/>
      <c r="B384" s="13"/>
      <c r="C384" s="14"/>
      <c r="H384" s="133"/>
      <c r="I384" s="128"/>
      <c r="J384" s="128"/>
      <c r="M384" s="130"/>
      <c r="Q384" s="133"/>
      <c r="R384" s="134"/>
      <c r="S384" s="130"/>
      <c r="T384" s="14"/>
      <c r="U384" s="14"/>
      <c r="V384" s="14"/>
      <c r="W384" s="14"/>
      <c r="X384" s="14"/>
      <c r="Y384" s="14"/>
      <c r="Z384" s="14"/>
      <c r="AA384" s="14"/>
    </row>
    <row r="385" spans="1:27" s="60" customFormat="1">
      <c r="A385" s="32"/>
      <c r="B385" s="13"/>
      <c r="C385" s="14"/>
      <c r="H385" s="133"/>
      <c r="I385" s="128"/>
      <c r="J385" s="128"/>
      <c r="M385" s="130"/>
      <c r="Q385" s="133"/>
      <c r="R385" s="134"/>
      <c r="S385" s="130"/>
      <c r="T385" s="14"/>
      <c r="U385" s="14"/>
      <c r="V385" s="14"/>
      <c r="W385" s="14"/>
      <c r="X385" s="14"/>
      <c r="Y385" s="14"/>
      <c r="Z385" s="14"/>
      <c r="AA385" s="14"/>
    </row>
    <row r="386" spans="1:27" s="60" customFormat="1">
      <c r="A386" s="32"/>
      <c r="B386" s="13"/>
      <c r="C386" s="14"/>
      <c r="H386" s="133"/>
      <c r="I386" s="128"/>
      <c r="J386" s="128"/>
      <c r="M386" s="130"/>
      <c r="Q386" s="133"/>
      <c r="R386" s="134"/>
      <c r="S386" s="130"/>
      <c r="T386" s="14"/>
      <c r="U386" s="14"/>
      <c r="V386" s="14"/>
      <c r="W386" s="14"/>
      <c r="X386" s="14"/>
      <c r="Y386" s="14"/>
      <c r="Z386" s="14"/>
      <c r="AA386" s="14"/>
    </row>
    <row r="387" spans="1:27" s="60" customFormat="1">
      <c r="A387" s="32"/>
      <c r="B387" s="13"/>
      <c r="C387" s="14"/>
      <c r="H387" s="133"/>
      <c r="I387" s="128"/>
      <c r="J387" s="128"/>
      <c r="M387" s="130"/>
      <c r="Q387" s="133"/>
      <c r="R387" s="134"/>
      <c r="S387" s="130"/>
      <c r="T387" s="14"/>
      <c r="U387" s="14"/>
      <c r="V387" s="14"/>
      <c r="W387" s="14"/>
      <c r="X387" s="14"/>
      <c r="Y387" s="14"/>
      <c r="Z387" s="14"/>
      <c r="AA387" s="14"/>
    </row>
    <row r="388" spans="1:27" s="60" customFormat="1">
      <c r="A388" s="32"/>
      <c r="B388" s="13"/>
      <c r="C388" s="14"/>
      <c r="H388" s="133"/>
      <c r="I388" s="128"/>
      <c r="J388" s="128"/>
      <c r="M388" s="130"/>
      <c r="Q388" s="133"/>
      <c r="R388" s="134"/>
      <c r="S388" s="130"/>
      <c r="T388" s="14"/>
      <c r="U388" s="14"/>
      <c r="V388" s="14"/>
      <c r="W388" s="14"/>
      <c r="X388" s="14"/>
      <c r="Y388" s="14"/>
      <c r="Z388" s="14"/>
      <c r="AA388" s="14"/>
    </row>
    <row r="389" spans="1:27" s="60" customFormat="1">
      <c r="A389" s="32"/>
      <c r="B389" s="13"/>
      <c r="C389" s="14"/>
      <c r="H389" s="133"/>
      <c r="I389" s="128"/>
      <c r="J389" s="128"/>
      <c r="M389" s="130"/>
      <c r="Q389" s="133"/>
      <c r="R389" s="134"/>
      <c r="S389" s="130"/>
      <c r="T389" s="14"/>
      <c r="U389" s="14"/>
      <c r="V389" s="14"/>
      <c r="W389" s="14"/>
      <c r="X389" s="14"/>
      <c r="Y389" s="14"/>
      <c r="Z389" s="14"/>
      <c r="AA389" s="14"/>
    </row>
    <row r="390" spans="1:27" s="60" customFormat="1">
      <c r="A390" s="32"/>
      <c r="B390" s="13"/>
      <c r="C390" s="14"/>
      <c r="H390" s="133"/>
      <c r="I390" s="128"/>
      <c r="J390" s="128"/>
      <c r="M390" s="130"/>
      <c r="Q390" s="133"/>
      <c r="R390" s="134"/>
      <c r="S390" s="130"/>
      <c r="T390" s="14"/>
      <c r="U390" s="14"/>
      <c r="V390" s="14"/>
      <c r="W390" s="14"/>
      <c r="X390" s="14"/>
      <c r="Y390" s="14"/>
      <c r="Z390" s="14"/>
      <c r="AA390" s="14"/>
    </row>
    <row r="391" spans="1:27" s="60" customFormat="1">
      <c r="A391" s="32"/>
      <c r="B391" s="13"/>
      <c r="C391" s="14"/>
      <c r="H391" s="133"/>
      <c r="I391" s="128"/>
      <c r="J391" s="128"/>
      <c r="M391" s="130"/>
      <c r="Q391" s="133"/>
      <c r="R391" s="134"/>
      <c r="S391" s="130"/>
      <c r="T391" s="14"/>
      <c r="U391" s="14"/>
      <c r="V391" s="14"/>
      <c r="W391" s="14"/>
      <c r="X391" s="14"/>
      <c r="Y391" s="14"/>
      <c r="Z391" s="14"/>
      <c r="AA391" s="14"/>
    </row>
    <row r="392" spans="1:27" s="60" customFormat="1">
      <c r="A392" s="32"/>
      <c r="B392" s="13"/>
      <c r="C392" s="14"/>
      <c r="H392" s="133"/>
      <c r="I392" s="128"/>
      <c r="J392" s="128"/>
      <c r="M392" s="130"/>
      <c r="Q392" s="133"/>
      <c r="R392" s="134"/>
      <c r="S392" s="130"/>
      <c r="T392" s="14"/>
      <c r="U392" s="14"/>
      <c r="V392" s="14"/>
      <c r="W392" s="14"/>
      <c r="X392" s="14"/>
      <c r="Y392" s="14"/>
      <c r="Z392" s="14"/>
      <c r="AA392" s="14"/>
    </row>
    <row r="393" spans="1:27" s="60" customFormat="1">
      <c r="A393" s="32"/>
      <c r="B393" s="13"/>
      <c r="C393" s="14"/>
      <c r="H393" s="133"/>
      <c r="I393" s="128"/>
      <c r="J393" s="128"/>
      <c r="M393" s="130"/>
      <c r="Q393" s="133"/>
      <c r="R393" s="134"/>
      <c r="S393" s="130"/>
      <c r="T393" s="14"/>
      <c r="U393" s="14"/>
      <c r="V393" s="14"/>
      <c r="W393" s="14"/>
      <c r="X393" s="14"/>
      <c r="Y393" s="14"/>
      <c r="Z393" s="14"/>
      <c r="AA393" s="14"/>
    </row>
    <row r="394" spans="1:27" s="60" customFormat="1">
      <c r="A394" s="32"/>
      <c r="B394" s="13"/>
      <c r="C394" s="14"/>
      <c r="H394" s="133"/>
      <c r="I394" s="128"/>
      <c r="J394" s="128"/>
      <c r="M394" s="130"/>
      <c r="Q394" s="133"/>
      <c r="R394" s="134"/>
      <c r="S394" s="130"/>
      <c r="T394" s="14"/>
      <c r="U394" s="14"/>
      <c r="V394" s="14"/>
      <c r="W394" s="14"/>
      <c r="X394" s="14"/>
      <c r="Y394" s="14"/>
      <c r="Z394" s="14"/>
      <c r="AA394" s="14"/>
    </row>
    <row r="395" spans="1:27" s="60" customFormat="1">
      <c r="A395" s="32"/>
      <c r="B395" s="13"/>
      <c r="C395" s="14"/>
      <c r="H395" s="133"/>
      <c r="I395" s="128"/>
      <c r="J395" s="128"/>
      <c r="M395" s="130"/>
      <c r="Q395" s="133"/>
      <c r="R395" s="134"/>
      <c r="S395" s="130"/>
      <c r="T395" s="14"/>
      <c r="U395" s="14"/>
      <c r="V395" s="14"/>
      <c r="W395" s="14"/>
      <c r="X395" s="14"/>
      <c r="Y395" s="14"/>
      <c r="Z395" s="14"/>
      <c r="AA395" s="14"/>
    </row>
    <row r="396" spans="1:27" s="60" customFormat="1">
      <c r="A396" s="32"/>
      <c r="B396" s="13"/>
      <c r="C396" s="14"/>
      <c r="H396" s="133"/>
      <c r="I396" s="128"/>
      <c r="J396" s="128"/>
      <c r="M396" s="130"/>
      <c r="Q396" s="133"/>
      <c r="R396" s="134"/>
      <c r="S396" s="130"/>
      <c r="T396" s="14"/>
      <c r="U396" s="14"/>
      <c r="V396" s="14"/>
      <c r="W396" s="14"/>
      <c r="X396" s="14"/>
      <c r="Y396" s="14"/>
      <c r="Z396" s="14"/>
      <c r="AA396" s="14"/>
    </row>
    <row r="397" spans="1:27" s="60" customFormat="1">
      <c r="A397" s="32"/>
      <c r="B397" s="13"/>
      <c r="C397" s="14"/>
      <c r="H397" s="133"/>
      <c r="I397" s="128"/>
      <c r="J397" s="128"/>
      <c r="M397" s="130"/>
      <c r="Q397" s="133"/>
      <c r="R397" s="134"/>
      <c r="S397" s="130"/>
      <c r="T397" s="14"/>
      <c r="U397" s="14"/>
      <c r="V397" s="14"/>
      <c r="W397" s="14"/>
      <c r="X397" s="14"/>
      <c r="Y397" s="14"/>
      <c r="Z397" s="14"/>
      <c r="AA397" s="14"/>
    </row>
    <row r="398" spans="1:27" s="60" customFormat="1">
      <c r="A398" s="32"/>
      <c r="B398" s="13"/>
      <c r="C398" s="14"/>
      <c r="H398" s="133"/>
      <c r="I398" s="128"/>
      <c r="J398" s="128"/>
      <c r="M398" s="130"/>
      <c r="Q398" s="133"/>
      <c r="R398" s="134"/>
      <c r="S398" s="130"/>
      <c r="T398" s="14"/>
      <c r="U398" s="14"/>
      <c r="V398" s="14"/>
      <c r="W398" s="14"/>
      <c r="X398" s="14"/>
      <c r="Y398" s="14"/>
      <c r="Z398" s="14"/>
      <c r="AA398" s="14"/>
    </row>
    <row r="399" spans="1:27" s="60" customFormat="1">
      <c r="A399" s="32"/>
      <c r="B399" s="13"/>
      <c r="C399" s="14"/>
      <c r="H399" s="133"/>
      <c r="I399" s="128"/>
      <c r="J399" s="128"/>
      <c r="M399" s="130"/>
      <c r="Q399" s="133"/>
      <c r="R399" s="134"/>
      <c r="S399" s="130"/>
      <c r="T399" s="14"/>
      <c r="U399" s="14"/>
      <c r="V399" s="14"/>
      <c r="W399" s="14"/>
      <c r="X399" s="14"/>
      <c r="Y399" s="14"/>
      <c r="Z399" s="14"/>
      <c r="AA399" s="14"/>
    </row>
    <row r="400" spans="1:27" s="60" customFormat="1">
      <c r="A400" s="32"/>
      <c r="B400" s="13"/>
      <c r="C400" s="14"/>
      <c r="H400" s="133"/>
      <c r="I400" s="128"/>
      <c r="J400" s="128"/>
      <c r="M400" s="130"/>
      <c r="Q400" s="133"/>
      <c r="R400" s="134"/>
      <c r="S400" s="130"/>
      <c r="T400" s="14"/>
      <c r="U400" s="14"/>
      <c r="V400" s="14"/>
      <c r="W400" s="14"/>
      <c r="X400" s="14"/>
      <c r="Y400" s="14"/>
      <c r="Z400" s="14"/>
      <c r="AA400" s="14"/>
    </row>
    <row r="401" spans="1:27" s="60" customFormat="1">
      <c r="A401" s="32"/>
      <c r="B401" s="13"/>
      <c r="C401" s="14"/>
      <c r="H401" s="133"/>
      <c r="I401" s="128"/>
      <c r="J401" s="128"/>
      <c r="M401" s="130"/>
      <c r="Q401" s="133"/>
      <c r="R401" s="134"/>
      <c r="S401" s="130"/>
      <c r="T401" s="14"/>
      <c r="U401" s="14"/>
      <c r="V401" s="14"/>
      <c r="W401" s="14"/>
      <c r="X401" s="14"/>
      <c r="Y401" s="14"/>
      <c r="Z401" s="14"/>
      <c r="AA401" s="14"/>
    </row>
    <row r="402" spans="1:27" s="60" customFormat="1">
      <c r="A402" s="32"/>
      <c r="B402" s="13"/>
      <c r="C402" s="14"/>
      <c r="H402" s="133"/>
      <c r="I402" s="128"/>
      <c r="J402" s="128"/>
      <c r="M402" s="130"/>
      <c r="Q402" s="133"/>
      <c r="R402" s="134"/>
      <c r="S402" s="130"/>
      <c r="T402" s="14"/>
      <c r="U402" s="14"/>
      <c r="V402" s="14"/>
      <c r="W402" s="14"/>
      <c r="X402" s="14"/>
      <c r="Y402" s="14"/>
      <c r="Z402" s="14"/>
      <c r="AA402" s="14"/>
    </row>
    <row r="403" spans="1:27" s="60" customFormat="1">
      <c r="A403" s="32"/>
      <c r="B403" s="13"/>
      <c r="C403" s="14"/>
      <c r="H403" s="133"/>
      <c r="I403" s="128"/>
      <c r="J403" s="128"/>
      <c r="M403" s="130"/>
      <c r="Q403" s="133"/>
      <c r="R403" s="134"/>
      <c r="S403" s="130"/>
      <c r="T403" s="14"/>
      <c r="U403" s="14"/>
      <c r="V403" s="14"/>
      <c r="W403" s="14"/>
      <c r="X403" s="14"/>
      <c r="Y403" s="14"/>
      <c r="Z403" s="14"/>
      <c r="AA403" s="14"/>
    </row>
    <row r="404" spans="1:27" s="60" customFormat="1">
      <c r="A404" s="32"/>
      <c r="B404" s="13"/>
      <c r="C404" s="14"/>
      <c r="H404" s="133"/>
      <c r="I404" s="128"/>
      <c r="J404" s="128"/>
      <c r="M404" s="130"/>
      <c r="Q404" s="133"/>
      <c r="R404" s="134"/>
      <c r="S404" s="130"/>
      <c r="T404" s="14"/>
      <c r="U404" s="14"/>
      <c r="V404" s="14"/>
      <c r="W404" s="14"/>
      <c r="X404" s="14"/>
      <c r="Y404" s="14"/>
      <c r="Z404" s="14"/>
      <c r="AA404" s="14"/>
    </row>
    <row r="405" spans="1:27" s="60" customFormat="1">
      <c r="A405" s="32"/>
      <c r="B405" s="13"/>
      <c r="C405" s="14"/>
      <c r="H405" s="133"/>
      <c r="I405" s="128"/>
      <c r="J405" s="128"/>
      <c r="M405" s="130"/>
      <c r="Q405" s="133"/>
      <c r="R405" s="134"/>
      <c r="S405" s="130"/>
      <c r="T405" s="14"/>
      <c r="U405" s="14"/>
      <c r="V405" s="14"/>
      <c r="W405" s="14"/>
      <c r="X405" s="14"/>
      <c r="Y405" s="14"/>
      <c r="Z405" s="14"/>
      <c r="AA405" s="14"/>
    </row>
    <row r="406" spans="1:27" s="60" customFormat="1">
      <c r="A406" s="32"/>
      <c r="B406" s="13"/>
      <c r="C406" s="14"/>
      <c r="H406" s="133"/>
      <c r="I406" s="128"/>
      <c r="J406" s="128"/>
      <c r="M406" s="130"/>
      <c r="Q406" s="133"/>
      <c r="R406" s="134"/>
      <c r="S406" s="130"/>
      <c r="T406" s="14"/>
      <c r="U406" s="14"/>
      <c r="V406" s="14"/>
      <c r="W406" s="14"/>
      <c r="X406" s="14"/>
      <c r="Y406" s="14"/>
      <c r="Z406" s="14"/>
      <c r="AA406" s="14"/>
    </row>
    <row r="407" spans="1:27" s="60" customFormat="1">
      <c r="A407" s="32"/>
      <c r="B407" s="13"/>
      <c r="C407" s="14"/>
      <c r="H407" s="133"/>
      <c r="I407" s="128"/>
      <c r="J407" s="128"/>
      <c r="M407" s="130"/>
      <c r="Q407" s="133"/>
      <c r="R407" s="134"/>
      <c r="S407" s="130"/>
      <c r="T407" s="14"/>
      <c r="U407" s="14"/>
      <c r="V407" s="14"/>
      <c r="W407" s="14"/>
      <c r="X407" s="14"/>
      <c r="Y407" s="14"/>
      <c r="Z407" s="14"/>
      <c r="AA407" s="14"/>
    </row>
    <row r="408" spans="1:27" s="60" customFormat="1">
      <c r="A408" s="32"/>
      <c r="B408" s="13"/>
      <c r="C408" s="14"/>
      <c r="H408" s="133"/>
      <c r="I408" s="128"/>
      <c r="J408" s="128"/>
      <c r="M408" s="130"/>
      <c r="Q408" s="133"/>
      <c r="R408" s="134"/>
      <c r="S408" s="130"/>
      <c r="T408" s="14"/>
      <c r="U408" s="14"/>
      <c r="V408" s="14"/>
      <c r="W408" s="14"/>
      <c r="X408" s="14"/>
      <c r="Y408" s="14"/>
      <c r="Z408" s="14"/>
      <c r="AA408" s="14"/>
    </row>
    <row r="409" spans="1:27" s="60" customFormat="1">
      <c r="A409" s="32"/>
      <c r="B409" s="13"/>
      <c r="C409" s="14"/>
      <c r="H409" s="133"/>
      <c r="I409" s="128"/>
      <c r="J409" s="128"/>
      <c r="M409" s="130"/>
      <c r="Q409" s="133"/>
      <c r="R409" s="134"/>
      <c r="S409" s="130"/>
      <c r="T409" s="14"/>
      <c r="U409" s="14"/>
      <c r="V409" s="14"/>
      <c r="W409" s="14"/>
      <c r="X409" s="14"/>
      <c r="Y409" s="14"/>
      <c r="Z409" s="14"/>
      <c r="AA409" s="14"/>
    </row>
    <row r="410" spans="1:27" s="60" customFormat="1">
      <c r="A410" s="32"/>
      <c r="B410" s="13"/>
      <c r="C410" s="14"/>
      <c r="H410" s="133"/>
      <c r="I410" s="128"/>
      <c r="J410" s="128"/>
      <c r="M410" s="130"/>
      <c r="Q410" s="133"/>
      <c r="R410" s="134"/>
      <c r="S410" s="130"/>
      <c r="T410" s="14"/>
      <c r="U410" s="14"/>
      <c r="V410" s="14"/>
      <c r="W410" s="14"/>
      <c r="X410" s="14"/>
      <c r="Y410" s="14"/>
      <c r="Z410" s="14"/>
      <c r="AA410" s="14"/>
    </row>
    <row r="411" spans="1:27" s="60" customFormat="1">
      <c r="A411" s="32"/>
      <c r="B411" s="13"/>
      <c r="C411" s="14"/>
      <c r="H411" s="133"/>
      <c r="I411" s="128"/>
      <c r="J411" s="128"/>
      <c r="M411" s="130"/>
      <c r="Q411" s="133"/>
      <c r="R411" s="134"/>
      <c r="S411" s="130"/>
      <c r="T411" s="14"/>
      <c r="U411" s="14"/>
      <c r="V411" s="14"/>
      <c r="W411" s="14"/>
      <c r="X411" s="14"/>
      <c r="Y411" s="14"/>
      <c r="Z411" s="14"/>
      <c r="AA411" s="14"/>
    </row>
    <row r="412" spans="1:27" s="60" customFormat="1">
      <c r="A412" s="32"/>
      <c r="B412" s="13"/>
      <c r="C412" s="14"/>
      <c r="H412" s="133"/>
      <c r="I412" s="128"/>
      <c r="J412" s="128"/>
      <c r="M412" s="130"/>
      <c r="Q412" s="133"/>
      <c r="R412" s="134"/>
      <c r="S412" s="130"/>
      <c r="T412" s="14"/>
      <c r="U412" s="14"/>
      <c r="V412" s="14"/>
      <c r="W412" s="14"/>
      <c r="X412" s="14"/>
      <c r="Y412" s="14"/>
      <c r="Z412" s="14"/>
      <c r="AA412" s="14"/>
    </row>
    <row r="413" spans="1:27" s="60" customFormat="1">
      <c r="A413" s="32"/>
      <c r="B413" s="13"/>
      <c r="C413" s="14"/>
      <c r="H413" s="133"/>
      <c r="I413" s="128"/>
      <c r="J413" s="128"/>
      <c r="M413" s="130"/>
      <c r="Q413" s="133"/>
      <c r="R413" s="134"/>
      <c r="S413" s="130"/>
      <c r="T413" s="14"/>
      <c r="U413" s="14"/>
      <c r="V413" s="14"/>
      <c r="W413" s="14"/>
      <c r="X413" s="14"/>
      <c r="Y413" s="14"/>
      <c r="Z413" s="14"/>
      <c r="AA413" s="14"/>
    </row>
    <row r="414" spans="1:27" s="60" customFormat="1">
      <c r="A414" s="32"/>
      <c r="B414" s="13"/>
      <c r="C414" s="14"/>
      <c r="H414" s="133"/>
      <c r="I414" s="128"/>
      <c r="J414" s="128"/>
      <c r="M414" s="130"/>
      <c r="Q414" s="133"/>
      <c r="R414" s="134"/>
      <c r="S414" s="130"/>
      <c r="T414" s="14"/>
      <c r="U414" s="14"/>
      <c r="V414" s="14"/>
      <c r="W414" s="14"/>
      <c r="X414" s="14"/>
      <c r="Y414" s="14"/>
      <c r="Z414" s="14"/>
      <c r="AA414" s="14"/>
    </row>
    <row r="415" spans="1:27" s="60" customFormat="1">
      <c r="A415" s="32"/>
      <c r="B415" s="13"/>
      <c r="C415" s="14"/>
      <c r="H415" s="133"/>
      <c r="I415" s="128"/>
      <c r="J415" s="128"/>
      <c r="M415" s="130"/>
      <c r="Q415" s="133"/>
      <c r="R415" s="134"/>
      <c r="S415" s="130"/>
      <c r="T415" s="14"/>
      <c r="U415" s="14"/>
      <c r="V415" s="14"/>
      <c r="W415" s="14"/>
      <c r="X415" s="14"/>
      <c r="Y415" s="14"/>
      <c r="Z415" s="14"/>
      <c r="AA415" s="14"/>
    </row>
    <row r="416" spans="1:27" s="60" customFormat="1">
      <c r="A416" s="32"/>
      <c r="B416" s="13"/>
      <c r="C416" s="14"/>
      <c r="H416" s="133"/>
      <c r="I416" s="128"/>
      <c r="J416" s="128"/>
      <c r="M416" s="130"/>
      <c r="Q416" s="133"/>
      <c r="R416" s="134"/>
      <c r="S416" s="130"/>
      <c r="T416" s="14"/>
      <c r="U416" s="14"/>
      <c r="V416" s="14"/>
      <c r="W416" s="14"/>
      <c r="X416" s="14"/>
      <c r="Y416" s="14"/>
      <c r="Z416" s="14"/>
      <c r="AA416" s="14"/>
    </row>
    <row r="417" spans="1:27" s="60" customFormat="1">
      <c r="A417" s="32"/>
      <c r="B417" s="13"/>
      <c r="C417" s="14"/>
      <c r="H417" s="133"/>
      <c r="I417" s="128"/>
      <c r="J417" s="128"/>
      <c r="M417" s="130"/>
      <c r="Q417" s="133"/>
      <c r="R417" s="134"/>
      <c r="S417" s="130"/>
      <c r="T417" s="14"/>
      <c r="U417" s="14"/>
      <c r="V417" s="14"/>
      <c r="W417" s="14"/>
      <c r="X417" s="14"/>
      <c r="Y417" s="14"/>
      <c r="Z417" s="14"/>
      <c r="AA417" s="14"/>
    </row>
    <row r="418" spans="1:27" s="60" customFormat="1">
      <c r="A418" s="32"/>
      <c r="B418" s="13"/>
      <c r="C418" s="14"/>
      <c r="H418" s="133"/>
      <c r="I418" s="128"/>
      <c r="J418" s="128"/>
      <c r="M418" s="130"/>
      <c r="Q418" s="133"/>
      <c r="R418" s="134"/>
      <c r="S418" s="130"/>
      <c r="T418" s="14"/>
      <c r="U418" s="14"/>
      <c r="V418" s="14"/>
      <c r="W418" s="14"/>
      <c r="X418" s="14"/>
      <c r="Y418" s="14"/>
      <c r="Z418" s="14"/>
      <c r="AA418" s="14"/>
    </row>
    <row r="419" spans="1:27" s="60" customFormat="1">
      <c r="A419" s="32"/>
      <c r="B419" s="13"/>
      <c r="C419" s="14"/>
      <c r="H419" s="133"/>
      <c r="I419" s="128"/>
      <c r="J419" s="128"/>
      <c r="M419" s="130"/>
      <c r="Q419" s="133"/>
      <c r="R419" s="134"/>
      <c r="S419" s="130"/>
      <c r="T419" s="14"/>
      <c r="U419" s="14"/>
      <c r="V419" s="14"/>
      <c r="W419" s="14"/>
      <c r="X419" s="14"/>
      <c r="Y419" s="14"/>
      <c r="Z419" s="14"/>
      <c r="AA419" s="14"/>
    </row>
    <row r="420" spans="1:27" s="60" customFormat="1">
      <c r="A420" s="32"/>
      <c r="B420" s="13"/>
      <c r="C420" s="14"/>
      <c r="H420" s="133"/>
      <c r="I420" s="128"/>
      <c r="J420" s="128"/>
      <c r="M420" s="130"/>
      <c r="Q420" s="133"/>
      <c r="R420" s="134"/>
      <c r="S420" s="130"/>
      <c r="T420" s="14"/>
      <c r="U420" s="14"/>
      <c r="V420" s="14"/>
      <c r="W420" s="14"/>
      <c r="X420" s="14"/>
      <c r="Y420" s="14"/>
      <c r="Z420" s="14"/>
      <c r="AA420" s="14"/>
    </row>
    <row r="421" spans="1:27" s="60" customFormat="1">
      <c r="A421" s="32"/>
      <c r="B421" s="13"/>
      <c r="C421" s="14"/>
      <c r="H421" s="133"/>
      <c r="I421" s="128"/>
      <c r="J421" s="128"/>
      <c r="M421" s="130"/>
      <c r="Q421" s="133"/>
      <c r="R421" s="134"/>
      <c r="S421" s="130"/>
      <c r="T421" s="14"/>
      <c r="U421" s="14"/>
      <c r="V421" s="14"/>
      <c r="W421" s="14"/>
      <c r="X421" s="14"/>
      <c r="Y421" s="14"/>
      <c r="Z421" s="14"/>
      <c r="AA421" s="14"/>
    </row>
    <row r="422" spans="1:27" s="60" customFormat="1">
      <c r="A422" s="32"/>
      <c r="B422" s="13"/>
      <c r="C422" s="14"/>
      <c r="H422" s="133"/>
      <c r="I422" s="128"/>
      <c r="J422" s="128"/>
      <c r="M422" s="130"/>
      <c r="Q422" s="133"/>
      <c r="R422" s="134"/>
      <c r="S422" s="130"/>
      <c r="T422" s="14"/>
      <c r="U422" s="14"/>
      <c r="V422" s="14"/>
      <c r="W422" s="14"/>
      <c r="X422" s="14"/>
      <c r="Y422" s="14"/>
      <c r="Z422" s="14"/>
      <c r="AA422" s="14"/>
    </row>
    <row r="423" spans="1:27" s="60" customFormat="1">
      <c r="A423" s="32"/>
      <c r="B423" s="13"/>
      <c r="C423" s="14"/>
      <c r="H423" s="133"/>
      <c r="I423" s="128"/>
      <c r="J423" s="128"/>
      <c r="M423" s="130"/>
      <c r="Q423" s="133"/>
      <c r="R423" s="134"/>
      <c r="S423" s="130"/>
      <c r="T423" s="14"/>
      <c r="U423" s="14"/>
      <c r="V423" s="14"/>
      <c r="W423" s="14"/>
      <c r="X423" s="14"/>
      <c r="Y423" s="14"/>
      <c r="Z423" s="14"/>
      <c r="AA423" s="14"/>
    </row>
    <row r="424" spans="1:27" s="60" customFormat="1">
      <c r="A424" s="32"/>
      <c r="B424" s="13"/>
      <c r="C424" s="14"/>
      <c r="H424" s="133"/>
      <c r="I424" s="128"/>
      <c r="J424" s="128"/>
      <c r="M424" s="130"/>
      <c r="Q424" s="133"/>
      <c r="R424" s="134"/>
      <c r="S424" s="130"/>
      <c r="T424" s="14"/>
      <c r="U424" s="14"/>
      <c r="V424" s="14"/>
      <c r="W424" s="14"/>
      <c r="X424" s="14"/>
      <c r="Y424" s="14"/>
      <c r="Z424" s="14"/>
      <c r="AA424" s="14"/>
    </row>
    <row r="425" spans="1:27" s="60" customFormat="1">
      <c r="A425" s="32"/>
      <c r="B425" s="13"/>
      <c r="C425" s="14"/>
      <c r="H425" s="133"/>
      <c r="I425" s="128"/>
      <c r="J425" s="128"/>
      <c r="M425" s="130"/>
      <c r="Q425" s="133"/>
      <c r="R425" s="134"/>
      <c r="S425" s="130"/>
      <c r="T425" s="14"/>
      <c r="U425" s="14"/>
      <c r="V425" s="14"/>
      <c r="W425" s="14"/>
      <c r="X425" s="14"/>
      <c r="Y425" s="14"/>
      <c r="Z425" s="14"/>
      <c r="AA425" s="14"/>
    </row>
    <row r="426" spans="1:27" s="60" customFormat="1">
      <c r="A426" s="32"/>
      <c r="B426" s="13"/>
      <c r="C426" s="14"/>
      <c r="H426" s="133"/>
      <c r="I426" s="128"/>
      <c r="J426" s="128"/>
      <c r="M426" s="130"/>
      <c r="Q426" s="133"/>
      <c r="R426" s="134"/>
      <c r="S426" s="130"/>
      <c r="T426" s="14"/>
      <c r="U426" s="14"/>
      <c r="V426" s="14"/>
      <c r="W426" s="14"/>
      <c r="X426" s="14"/>
      <c r="Y426" s="14"/>
      <c r="Z426" s="14"/>
      <c r="AA426" s="14"/>
    </row>
    <row r="427" spans="1:27" s="60" customFormat="1">
      <c r="A427" s="32"/>
      <c r="B427" s="13"/>
      <c r="C427" s="14"/>
      <c r="H427" s="133"/>
      <c r="I427" s="128"/>
      <c r="J427" s="128"/>
      <c r="M427" s="130"/>
      <c r="Q427" s="133"/>
      <c r="R427" s="134"/>
      <c r="S427" s="130"/>
      <c r="T427" s="14"/>
      <c r="U427" s="14"/>
      <c r="V427" s="14"/>
      <c r="W427" s="14"/>
      <c r="X427" s="14"/>
      <c r="Y427" s="14"/>
      <c r="Z427" s="14"/>
      <c r="AA427" s="14"/>
    </row>
    <row r="428" spans="1:27" s="60" customFormat="1">
      <c r="A428" s="32"/>
      <c r="B428" s="13"/>
      <c r="C428" s="14"/>
      <c r="H428" s="133"/>
      <c r="I428" s="128"/>
      <c r="J428" s="128"/>
      <c r="M428" s="130"/>
      <c r="Q428" s="133"/>
      <c r="R428" s="134"/>
      <c r="S428" s="130"/>
      <c r="T428" s="14"/>
      <c r="U428" s="14"/>
      <c r="V428" s="14"/>
      <c r="W428" s="14"/>
      <c r="X428" s="14"/>
      <c r="Y428" s="14"/>
      <c r="Z428" s="14"/>
      <c r="AA428" s="14"/>
    </row>
    <row r="429" spans="1:27" s="60" customFormat="1">
      <c r="A429" s="32"/>
      <c r="B429" s="13"/>
      <c r="C429" s="14"/>
      <c r="H429" s="133"/>
      <c r="I429" s="128"/>
      <c r="J429" s="128"/>
      <c r="M429" s="130"/>
      <c r="Q429" s="133"/>
      <c r="R429" s="134"/>
      <c r="S429" s="130"/>
      <c r="T429" s="14"/>
      <c r="U429" s="14"/>
      <c r="V429" s="14"/>
      <c r="W429" s="14"/>
      <c r="X429" s="14"/>
      <c r="Y429" s="14"/>
      <c r="Z429" s="14"/>
      <c r="AA429" s="14"/>
    </row>
    <row r="430" spans="1:27" s="60" customFormat="1">
      <c r="A430" s="32"/>
      <c r="B430" s="13"/>
      <c r="C430" s="14"/>
      <c r="H430" s="133"/>
      <c r="I430" s="128"/>
      <c r="J430" s="128"/>
      <c r="M430" s="130"/>
      <c r="Q430" s="133"/>
      <c r="R430" s="134"/>
      <c r="S430" s="130"/>
      <c r="T430" s="14"/>
      <c r="U430" s="14"/>
      <c r="V430" s="14"/>
      <c r="W430" s="14"/>
      <c r="X430" s="14"/>
      <c r="Y430" s="14"/>
      <c r="Z430" s="14"/>
      <c r="AA430" s="14"/>
    </row>
    <row r="431" spans="1:27" s="60" customFormat="1">
      <c r="A431" s="32"/>
      <c r="B431" s="13"/>
      <c r="C431" s="14"/>
      <c r="H431" s="133"/>
      <c r="I431" s="128"/>
      <c r="J431" s="128"/>
      <c r="M431" s="130"/>
      <c r="Q431" s="133"/>
      <c r="R431" s="134"/>
      <c r="S431" s="130"/>
      <c r="T431" s="14"/>
      <c r="U431" s="14"/>
      <c r="V431" s="14"/>
      <c r="W431" s="14"/>
      <c r="X431" s="14"/>
      <c r="Y431" s="14"/>
      <c r="Z431" s="14"/>
      <c r="AA431" s="14"/>
    </row>
    <row r="432" spans="1:27" s="60" customFormat="1">
      <c r="A432" s="32"/>
      <c r="B432" s="13"/>
      <c r="C432" s="14"/>
      <c r="H432" s="133"/>
      <c r="I432" s="128"/>
      <c r="J432" s="128"/>
      <c r="M432" s="130"/>
      <c r="Q432" s="133"/>
      <c r="R432" s="134"/>
      <c r="S432" s="130"/>
      <c r="T432" s="14"/>
      <c r="U432" s="14"/>
      <c r="V432" s="14"/>
      <c r="W432" s="14"/>
      <c r="X432" s="14"/>
      <c r="Y432" s="14"/>
      <c r="Z432" s="14"/>
      <c r="AA432" s="14"/>
    </row>
    <row r="433" spans="1:27" s="60" customFormat="1">
      <c r="A433" s="32"/>
      <c r="B433" s="13"/>
      <c r="C433" s="14"/>
      <c r="H433" s="133"/>
      <c r="I433" s="128"/>
      <c r="J433" s="128"/>
      <c r="M433" s="130"/>
      <c r="Q433" s="133"/>
      <c r="R433" s="134"/>
      <c r="S433" s="130"/>
      <c r="T433" s="14"/>
      <c r="U433" s="14"/>
      <c r="V433" s="14"/>
      <c r="W433" s="14"/>
      <c r="X433" s="14"/>
      <c r="Y433" s="14"/>
      <c r="Z433" s="14"/>
      <c r="AA433" s="14"/>
    </row>
    <row r="434" spans="1:27" s="60" customFormat="1">
      <c r="A434" s="32"/>
      <c r="B434" s="13"/>
      <c r="C434" s="14"/>
      <c r="H434" s="133"/>
      <c r="I434" s="128"/>
      <c r="J434" s="128"/>
      <c r="M434" s="130"/>
      <c r="Q434" s="133"/>
      <c r="R434" s="134"/>
      <c r="S434" s="130"/>
      <c r="T434" s="14"/>
      <c r="U434" s="14"/>
      <c r="V434" s="14"/>
      <c r="W434" s="14"/>
      <c r="X434" s="14"/>
      <c r="Y434" s="14"/>
      <c r="Z434" s="14"/>
      <c r="AA434" s="14"/>
    </row>
    <row r="435" spans="1:27" s="60" customFormat="1">
      <c r="A435" s="32"/>
      <c r="B435" s="13"/>
      <c r="C435" s="14"/>
      <c r="H435" s="133"/>
      <c r="I435" s="128"/>
      <c r="J435" s="128"/>
      <c r="M435" s="130"/>
      <c r="Q435" s="133"/>
      <c r="R435" s="134"/>
      <c r="S435" s="130"/>
      <c r="T435" s="14"/>
      <c r="U435" s="14"/>
      <c r="V435" s="14"/>
      <c r="W435" s="14"/>
      <c r="X435" s="14"/>
      <c r="Y435" s="14"/>
      <c r="Z435" s="14"/>
      <c r="AA435" s="14"/>
    </row>
    <row r="436" spans="1:27" s="60" customFormat="1">
      <c r="A436" s="32"/>
      <c r="B436" s="13"/>
      <c r="C436" s="14"/>
      <c r="H436" s="133"/>
      <c r="I436" s="128"/>
      <c r="J436" s="128"/>
      <c r="M436" s="130"/>
      <c r="Q436" s="133"/>
      <c r="R436" s="134"/>
      <c r="S436" s="130"/>
      <c r="T436" s="14"/>
      <c r="U436" s="14"/>
      <c r="V436" s="14"/>
      <c r="W436" s="14"/>
      <c r="X436" s="14"/>
      <c r="Y436" s="14"/>
      <c r="Z436" s="14"/>
      <c r="AA436" s="14"/>
    </row>
    <row r="437" spans="1:27" s="60" customFormat="1">
      <c r="A437" s="32"/>
      <c r="B437" s="13"/>
      <c r="C437" s="14"/>
      <c r="H437" s="133"/>
      <c r="I437" s="128"/>
      <c r="J437" s="128"/>
      <c r="M437" s="130"/>
      <c r="Q437" s="133"/>
      <c r="R437" s="134"/>
      <c r="S437" s="130"/>
      <c r="T437" s="14"/>
      <c r="U437" s="14"/>
      <c r="V437" s="14"/>
      <c r="W437" s="14"/>
      <c r="X437" s="14"/>
      <c r="Y437" s="14"/>
      <c r="Z437" s="14"/>
      <c r="AA437" s="14"/>
    </row>
    <row r="438" spans="1:27" s="60" customFormat="1">
      <c r="A438" s="32"/>
      <c r="B438" s="13"/>
      <c r="C438" s="14"/>
      <c r="H438" s="133"/>
      <c r="I438" s="128"/>
      <c r="J438" s="128"/>
      <c r="M438" s="130"/>
      <c r="Q438" s="133"/>
      <c r="R438" s="134"/>
      <c r="S438" s="130"/>
      <c r="T438" s="14"/>
      <c r="U438" s="14"/>
      <c r="V438" s="14"/>
      <c r="W438" s="14"/>
      <c r="X438" s="14"/>
      <c r="Y438" s="14"/>
      <c r="Z438" s="14"/>
      <c r="AA438" s="14"/>
    </row>
    <row r="439" spans="1:27" s="60" customFormat="1">
      <c r="A439" s="32"/>
      <c r="B439" s="13"/>
      <c r="C439" s="14"/>
      <c r="H439" s="133"/>
      <c r="I439" s="128"/>
      <c r="J439" s="128"/>
      <c r="M439" s="130"/>
      <c r="Q439" s="133"/>
      <c r="R439" s="134"/>
      <c r="S439" s="130"/>
      <c r="T439" s="14"/>
      <c r="U439" s="14"/>
      <c r="V439" s="14"/>
      <c r="W439" s="14"/>
      <c r="X439" s="14"/>
      <c r="Y439" s="14"/>
      <c r="Z439" s="14"/>
      <c r="AA439" s="14"/>
    </row>
    <row r="440" spans="1:27" s="60" customFormat="1">
      <c r="A440" s="32"/>
      <c r="B440" s="13"/>
      <c r="C440" s="14"/>
      <c r="H440" s="133"/>
      <c r="I440" s="128"/>
      <c r="J440" s="128"/>
      <c r="M440" s="130"/>
      <c r="Q440" s="133"/>
      <c r="R440" s="134"/>
      <c r="S440" s="130"/>
      <c r="T440" s="14"/>
      <c r="U440" s="14"/>
      <c r="V440" s="14"/>
      <c r="W440" s="14"/>
      <c r="X440" s="14"/>
      <c r="Y440" s="14"/>
      <c r="Z440" s="14"/>
      <c r="AA440" s="14"/>
    </row>
    <row r="441" spans="1:27" s="60" customFormat="1">
      <c r="A441" s="32"/>
      <c r="B441" s="13"/>
      <c r="C441" s="14"/>
      <c r="H441" s="133"/>
      <c r="I441" s="128"/>
      <c r="J441" s="128"/>
      <c r="M441" s="130"/>
      <c r="Q441" s="133"/>
      <c r="R441" s="134"/>
      <c r="S441" s="130"/>
      <c r="T441" s="14"/>
      <c r="U441" s="14"/>
      <c r="V441" s="14"/>
      <c r="W441" s="14"/>
      <c r="X441" s="14"/>
      <c r="Y441" s="14"/>
      <c r="Z441" s="14"/>
      <c r="AA441" s="14"/>
    </row>
    <row r="442" spans="1:27" s="60" customFormat="1">
      <c r="A442" s="32"/>
      <c r="B442" s="13"/>
      <c r="C442" s="14"/>
      <c r="H442" s="133"/>
      <c r="I442" s="128"/>
      <c r="J442" s="128"/>
      <c r="M442" s="130"/>
      <c r="Q442" s="133"/>
      <c r="R442" s="134"/>
      <c r="S442" s="130"/>
      <c r="T442" s="14"/>
      <c r="U442" s="14"/>
      <c r="V442" s="14"/>
      <c r="W442" s="14"/>
      <c r="X442" s="14"/>
      <c r="Y442" s="14"/>
      <c r="Z442" s="14"/>
      <c r="AA442" s="14"/>
    </row>
    <row r="443" spans="1:27" s="60" customFormat="1">
      <c r="A443" s="32"/>
      <c r="B443" s="13"/>
      <c r="C443" s="14"/>
      <c r="H443" s="133"/>
      <c r="I443" s="128"/>
      <c r="J443" s="128"/>
      <c r="M443" s="130"/>
      <c r="Q443" s="133"/>
      <c r="R443" s="134"/>
      <c r="S443" s="130"/>
      <c r="T443" s="14"/>
      <c r="U443" s="14"/>
      <c r="V443" s="14"/>
      <c r="W443" s="14"/>
      <c r="X443" s="14"/>
      <c r="Y443" s="14"/>
      <c r="Z443" s="14"/>
      <c r="AA443" s="14"/>
    </row>
    <row r="444" spans="1:27" s="60" customFormat="1">
      <c r="A444" s="32"/>
      <c r="B444" s="13"/>
      <c r="C444" s="14"/>
      <c r="H444" s="133"/>
      <c r="I444" s="128"/>
      <c r="J444" s="128"/>
      <c r="M444" s="130"/>
      <c r="Q444" s="133"/>
      <c r="R444" s="134"/>
      <c r="S444" s="130"/>
      <c r="T444" s="14"/>
      <c r="U444" s="14"/>
      <c r="V444" s="14"/>
      <c r="W444" s="14"/>
      <c r="X444" s="14"/>
      <c r="Y444" s="14"/>
      <c r="Z444" s="14"/>
      <c r="AA444" s="14"/>
    </row>
    <row r="445" spans="1:27" s="60" customFormat="1">
      <c r="A445" s="32"/>
      <c r="B445" s="13"/>
      <c r="C445" s="14"/>
      <c r="H445" s="133"/>
      <c r="I445" s="128"/>
      <c r="J445" s="128"/>
      <c r="M445" s="130"/>
      <c r="Q445" s="133"/>
      <c r="R445" s="134"/>
      <c r="S445" s="130"/>
      <c r="T445" s="14"/>
      <c r="U445" s="14"/>
      <c r="V445" s="14"/>
      <c r="W445" s="14"/>
      <c r="X445" s="14"/>
      <c r="Y445" s="14"/>
      <c r="Z445" s="14"/>
      <c r="AA445" s="14"/>
    </row>
    <row r="446" spans="1:27" s="60" customFormat="1">
      <c r="A446" s="32"/>
      <c r="B446" s="13"/>
      <c r="C446" s="14"/>
      <c r="H446" s="133"/>
      <c r="I446" s="128"/>
      <c r="J446" s="128"/>
      <c r="M446" s="130"/>
      <c r="Q446" s="133"/>
      <c r="R446" s="134"/>
      <c r="S446" s="130"/>
      <c r="T446" s="14"/>
      <c r="U446" s="14"/>
      <c r="V446" s="14"/>
      <c r="W446" s="14"/>
      <c r="X446" s="14"/>
      <c r="Y446" s="14"/>
      <c r="Z446" s="14"/>
      <c r="AA446" s="14"/>
    </row>
    <row r="447" spans="1:27" s="60" customFormat="1">
      <c r="A447" s="32"/>
      <c r="B447" s="13"/>
      <c r="C447" s="14"/>
      <c r="H447" s="133"/>
      <c r="I447" s="128"/>
      <c r="J447" s="128"/>
      <c r="M447" s="130"/>
      <c r="Q447" s="133"/>
      <c r="R447" s="134"/>
      <c r="S447" s="130"/>
      <c r="T447" s="14"/>
      <c r="U447" s="14"/>
      <c r="V447" s="14"/>
      <c r="W447" s="14"/>
      <c r="X447" s="14"/>
      <c r="Y447" s="14"/>
      <c r="Z447" s="14"/>
      <c r="AA447" s="14"/>
    </row>
    <row r="448" spans="1:27" s="60" customFormat="1">
      <c r="A448" s="32"/>
      <c r="B448" s="13"/>
      <c r="C448" s="14"/>
      <c r="H448" s="133"/>
      <c r="I448" s="128"/>
      <c r="J448" s="128"/>
      <c r="M448" s="130"/>
      <c r="Q448" s="133"/>
      <c r="R448" s="134"/>
      <c r="S448" s="130"/>
      <c r="T448" s="14"/>
      <c r="U448" s="14"/>
      <c r="V448" s="14"/>
      <c r="W448" s="14"/>
      <c r="X448" s="14"/>
      <c r="Y448" s="14"/>
      <c r="Z448" s="14"/>
      <c r="AA448" s="14"/>
    </row>
    <row r="449" spans="1:27" s="60" customFormat="1">
      <c r="A449" s="32"/>
      <c r="B449" s="13"/>
      <c r="C449" s="14"/>
      <c r="H449" s="133"/>
      <c r="I449" s="128"/>
      <c r="J449" s="128"/>
      <c r="M449" s="130"/>
      <c r="Q449" s="133"/>
      <c r="R449" s="134"/>
      <c r="S449" s="130"/>
      <c r="T449" s="14"/>
      <c r="U449" s="14"/>
      <c r="V449" s="14"/>
      <c r="W449" s="14"/>
      <c r="X449" s="14"/>
      <c r="Y449" s="14"/>
      <c r="Z449" s="14"/>
      <c r="AA449" s="14"/>
    </row>
    <row r="450" spans="1:27" s="60" customFormat="1">
      <c r="A450" s="32"/>
      <c r="B450" s="13"/>
      <c r="C450" s="14"/>
      <c r="H450" s="133"/>
      <c r="I450" s="128"/>
      <c r="J450" s="128"/>
      <c r="M450" s="130"/>
      <c r="Q450" s="133"/>
      <c r="R450" s="134"/>
      <c r="S450" s="130"/>
      <c r="T450" s="14"/>
      <c r="U450" s="14"/>
      <c r="V450" s="14"/>
      <c r="W450" s="14"/>
      <c r="X450" s="14"/>
      <c r="Y450" s="14"/>
      <c r="Z450" s="14"/>
      <c r="AA450" s="14"/>
    </row>
    <row r="451" spans="1:27" s="60" customFormat="1">
      <c r="A451" s="32"/>
      <c r="B451" s="13"/>
      <c r="C451" s="14"/>
      <c r="H451" s="133"/>
      <c r="I451" s="128"/>
      <c r="J451" s="128"/>
      <c r="M451" s="130"/>
      <c r="Q451" s="133"/>
      <c r="R451" s="134"/>
      <c r="S451" s="130"/>
      <c r="T451" s="14"/>
      <c r="U451" s="14"/>
      <c r="V451" s="14"/>
      <c r="W451" s="14"/>
      <c r="X451" s="14"/>
      <c r="Y451" s="14"/>
      <c r="Z451" s="14"/>
      <c r="AA451" s="14"/>
    </row>
    <row r="452" spans="1:27" s="60" customFormat="1">
      <c r="A452" s="32"/>
      <c r="B452" s="13"/>
      <c r="C452" s="14"/>
      <c r="H452" s="133"/>
      <c r="I452" s="128"/>
      <c r="J452" s="128"/>
      <c r="M452" s="130"/>
      <c r="Q452" s="133"/>
      <c r="R452" s="134"/>
      <c r="S452" s="130"/>
      <c r="T452" s="14"/>
      <c r="U452" s="14"/>
      <c r="V452" s="14"/>
      <c r="W452" s="14"/>
      <c r="X452" s="14"/>
      <c r="Y452" s="14"/>
      <c r="Z452" s="14"/>
      <c r="AA452" s="14"/>
    </row>
    <row r="453" spans="1:27" s="60" customFormat="1">
      <c r="A453" s="32"/>
      <c r="B453" s="13"/>
      <c r="C453" s="14"/>
      <c r="H453" s="133"/>
      <c r="I453" s="128"/>
      <c r="J453" s="128"/>
      <c r="M453" s="130"/>
      <c r="Q453" s="133"/>
      <c r="R453" s="134"/>
      <c r="S453" s="130"/>
      <c r="T453" s="14"/>
      <c r="U453" s="14"/>
      <c r="V453" s="14"/>
      <c r="W453" s="14"/>
      <c r="X453" s="14"/>
      <c r="Y453" s="14"/>
      <c r="Z453" s="14"/>
      <c r="AA453" s="14"/>
    </row>
    <row r="454" spans="1:27" s="60" customFormat="1">
      <c r="A454" s="32"/>
      <c r="B454" s="13"/>
      <c r="C454" s="14"/>
      <c r="H454" s="133"/>
      <c r="I454" s="128"/>
      <c r="J454" s="128"/>
      <c r="M454" s="130"/>
      <c r="Q454" s="133"/>
      <c r="R454" s="134"/>
      <c r="S454" s="130"/>
      <c r="T454" s="14"/>
      <c r="U454" s="14"/>
      <c r="V454" s="14"/>
      <c r="W454" s="14"/>
      <c r="X454" s="14"/>
      <c r="Y454" s="14"/>
      <c r="Z454" s="14"/>
      <c r="AA454" s="14"/>
    </row>
    <row r="455" spans="1:27" s="60" customFormat="1">
      <c r="A455" s="32"/>
      <c r="B455" s="13"/>
      <c r="C455" s="14"/>
      <c r="H455" s="133"/>
      <c r="I455" s="128"/>
      <c r="J455" s="128"/>
      <c r="M455" s="130"/>
      <c r="Q455" s="133"/>
      <c r="R455" s="134"/>
      <c r="S455" s="130"/>
      <c r="T455" s="14"/>
      <c r="U455" s="14"/>
      <c r="V455" s="14"/>
      <c r="W455" s="14"/>
      <c r="X455" s="14"/>
      <c r="Y455" s="14"/>
      <c r="Z455" s="14"/>
      <c r="AA455" s="14"/>
    </row>
    <row r="456" spans="1:27" s="60" customFormat="1">
      <c r="A456" s="32"/>
      <c r="B456" s="13"/>
      <c r="C456" s="14"/>
      <c r="H456" s="133"/>
      <c r="I456" s="128"/>
      <c r="J456" s="128"/>
      <c r="M456" s="130"/>
      <c r="Q456" s="133"/>
      <c r="R456" s="134"/>
      <c r="S456" s="130"/>
      <c r="T456" s="14"/>
      <c r="U456" s="14"/>
      <c r="V456" s="14"/>
      <c r="W456" s="14"/>
      <c r="X456" s="14"/>
      <c r="Y456" s="14"/>
      <c r="Z456" s="14"/>
      <c r="AA456" s="14"/>
    </row>
    <row r="457" spans="1:27" s="60" customFormat="1">
      <c r="A457" s="32"/>
      <c r="B457" s="13"/>
      <c r="C457" s="14"/>
      <c r="H457" s="133"/>
      <c r="I457" s="128"/>
      <c r="J457" s="128"/>
      <c r="M457" s="130"/>
      <c r="Q457" s="133"/>
      <c r="R457" s="134"/>
      <c r="S457" s="130"/>
      <c r="T457" s="14"/>
      <c r="U457" s="14"/>
      <c r="V457" s="14"/>
      <c r="W457" s="14"/>
      <c r="X457" s="14"/>
      <c r="Y457" s="14"/>
      <c r="Z457" s="14"/>
      <c r="AA457" s="14"/>
    </row>
    <row r="458" spans="1:27" s="60" customFormat="1">
      <c r="A458" s="32"/>
      <c r="B458" s="13"/>
      <c r="C458" s="14"/>
      <c r="H458" s="133"/>
      <c r="I458" s="128"/>
      <c r="J458" s="128"/>
      <c r="M458" s="130"/>
      <c r="Q458" s="133"/>
      <c r="R458" s="134"/>
      <c r="S458" s="130"/>
      <c r="T458" s="14"/>
      <c r="U458" s="14"/>
      <c r="V458" s="14"/>
      <c r="W458" s="14"/>
      <c r="X458" s="14"/>
      <c r="Y458" s="14"/>
      <c r="Z458" s="14"/>
      <c r="AA458" s="14"/>
    </row>
    <row r="459" spans="1:27" s="60" customFormat="1">
      <c r="A459" s="32"/>
      <c r="B459" s="13"/>
      <c r="C459" s="14"/>
      <c r="H459" s="133"/>
      <c r="I459" s="128"/>
      <c r="J459" s="128"/>
      <c r="M459" s="130"/>
      <c r="Q459" s="133"/>
      <c r="R459" s="134"/>
      <c r="S459" s="130"/>
      <c r="T459" s="14"/>
      <c r="U459" s="14"/>
      <c r="V459" s="14"/>
      <c r="W459" s="14"/>
      <c r="X459" s="14"/>
      <c r="Y459" s="14"/>
      <c r="Z459" s="14"/>
      <c r="AA459" s="14"/>
    </row>
    <row r="460" spans="1:27" s="60" customFormat="1">
      <c r="A460" s="32"/>
      <c r="B460" s="13"/>
      <c r="C460" s="14"/>
      <c r="H460" s="133"/>
      <c r="I460" s="128"/>
      <c r="J460" s="128"/>
      <c r="M460" s="130"/>
      <c r="Q460" s="133"/>
      <c r="R460" s="134"/>
      <c r="S460" s="130"/>
      <c r="T460" s="14"/>
      <c r="U460" s="14"/>
      <c r="V460" s="14"/>
      <c r="W460" s="14"/>
      <c r="X460" s="14"/>
      <c r="Y460" s="14"/>
      <c r="Z460" s="14"/>
      <c r="AA460" s="14"/>
    </row>
    <row r="461" spans="1:27" s="60" customFormat="1">
      <c r="A461" s="32"/>
      <c r="B461" s="13"/>
      <c r="C461" s="14"/>
      <c r="H461" s="133"/>
      <c r="I461" s="128"/>
      <c r="J461" s="128"/>
      <c r="M461" s="130"/>
      <c r="Q461" s="133"/>
      <c r="R461" s="134"/>
      <c r="S461" s="130"/>
      <c r="T461" s="14"/>
      <c r="U461" s="14"/>
      <c r="V461" s="14"/>
      <c r="W461" s="14"/>
      <c r="X461" s="14"/>
      <c r="Y461" s="14"/>
      <c r="Z461" s="14"/>
      <c r="AA461" s="14"/>
    </row>
    <row r="462" spans="1:27" s="60" customFormat="1">
      <c r="A462" s="32"/>
      <c r="B462" s="13"/>
      <c r="C462" s="14"/>
      <c r="H462" s="133"/>
      <c r="I462" s="128"/>
      <c r="J462" s="128"/>
      <c r="M462" s="130"/>
      <c r="Q462" s="133"/>
      <c r="R462" s="134"/>
      <c r="S462" s="130"/>
      <c r="T462" s="14"/>
      <c r="U462" s="14"/>
      <c r="V462" s="14"/>
      <c r="W462" s="14"/>
      <c r="X462" s="14"/>
      <c r="Y462" s="14"/>
      <c r="Z462" s="14"/>
      <c r="AA462" s="14"/>
    </row>
    <row r="463" spans="1:27" s="60" customFormat="1">
      <c r="A463" s="32"/>
      <c r="B463" s="13"/>
      <c r="C463" s="14"/>
      <c r="H463" s="133"/>
      <c r="I463" s="128"/>
      <c r="J463" s="128"/>
      <c r="M463" s="130"/>
      <c r="Q463" s="133"/>
      <c r="R463" s="134"/>
      <c r="S463" s="130"/>
      <c r="T463" s="14"/>
      <c r="U463" s="14"/>
      <c r="V463" s="14"/>
      <c r="W463" s="14"/>
      <c r="X463" s="14"/>
      <c r="Y463" s="14"/>
      <c r="Z463" s="14"/>
      <c r="AA463" s="14"/>
    </row>
    <row r="464" spans="1:27" s="60" customFormat="1">
      <c r="A464" s="32"/>
      <c r="B464" s="13"/>
      <c r="C464" s="14"/>
      <c r="H464" s="133"/>
      <c r="I464" s="128"/>
      <c r="J464" s="128"/>
      <c r="M464" s="130"/>
      <c r="Q464" s="133"/>
      <c r="R464" s="134"/>
      <c r="S464" s="130"/>
      <c r="T464" s="14"/>
      <c r="U464" s="14"/>
      <c r="V464" s="14"/>
      <c r="W464" s="14"/>
      <c r="X464" s="14"/>
      <c r="Y464" s="14"/>
      <c r="Z464" s="14"/>
      <c r="AA464" s="14"/>
    </row>
  </sheetData>
  <autoFilter ref="A5:E44" xr:uid="{6C7A9CB1-031C-4F29-8C13-FFFE739A7C7E}"/>
  <printOptions horizontalCentered="1" headings="1" gridLines="1"/>
  <pageMargins left="0.25" right="0.25" top="0.75" bottom="0.25" header="0.25" footer="0.25"/>
  <pageSetup scale="48" fitToHeight="2" orientation="landscape" r:id="rId1"/>
  <headerFooter>
    <oddFooter>Page &amp;P of &amp;N</oddFooter>
  </headerFooter>
  <rowBreaks count="1" manualBreakCount="1">
    <brk id="44"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85268-97C6-417E-8011-BA31863E9445}">
  <sheetPr>
    <tabColor rgb="FF00B050"/>
    <pageSetUpPr fitToPage="1"/>
  </sheetPr>
  <dimension ref="A1:AK66"/>
  <sheetViews>
    <sheetView view="pageBreakPreview" topLeftCell="B1" zoomScale="60" zoomScaleNormal="100" workbookViewId="0">
      <selection activeCell="B23" sqref="B23"/>
    </sheetView>
  </sheetViews>
  <sheetFormatPr defaultColWidth="8.875" defaultRowHeight="13.9"/>
  <cols>
    <col min="1" max="1" width="10.875" style="651" hidden="1" customWidth="1"/>
    <col min="2" max="2" width="24.625" style="651" customWidth="1"/>
    <col min="3" max="3" width="14.375" style="659" hidden="1" customWidth="1"/>
    <col min="4" max="4" width="11.125" style="660" customWidth="1"/>
    <col min="5" max="5" width="11.125" style="661" customWidth="1"/>
    <col min="6" max="9" width="11.125" style="660" hidden="1" customWidth="1"/>
    <col min="10" max="10" width="9.875" style="651" customWidth="1"/>
    <col min="11" max="11" width="12.625" style="651" customWidth="1"/>
    <col min="12" max="12" width="10.625" style="651" customWidth="1"/>
    <col min="13" max="13" width="10.375" style="651" customWidth="1"/>
    <col min="14" max="14" width="9.875" style="651" customWidth="1"/>
    <col min="15" max="16" width="8.875" style="651" customWidth="1"/>
    <col min="17" max="17" width="9.875" style="651" bestFit="1" customWidth="1"/>
    <col min="18" max="18" width="9.875" style="651" customWidth="1"/>
    <col min="19" max="19" width="10.5" style="651" customWidth="1"/>
    <col min="20" max="20" width="8.875" style="651" customWidth="1"/>
    <col min="21" max="23" width="9.875" style="651" customWidth="1"/>
    <col min="24" max="24" width="16.125" style="664" customWidth="1"/>
    <col min="25" max="25" width="9.875" style="651" customWidth="1"/>
    <col min="26" max="37" width="11.5" style="665" customWidth="1"/>
    <col min="38" max="16384" width="8.875" style="651"/>
  </cols>
  <sheetData>
    <row r="1" spans="1:37" s="362" customFormat="1" ht="18">
      <c r="B1" s="640" t="s">
        <v>0</v>
      </c>
      <c r="C1" s="641" t="s">
        <v>1067</v>
      </c>
      <c r="D1" s="4"/>
      <c r="E1" s="642"/>
      <c r="F1" s="4"/>
      <c r="G1" s="4"/>
      <c r="H1" s="4"/>
      <c r="I1" s="4"/>
      <c r="J1" s="4"/>
      <c r="K1" s="5"/>
    </row>
    <row r="2" spans="1:37" s="362" customFormat="1" ht="18">
      <c r="A2" s="362" t="s">
        <v>1123</v>
      </c>
      <c r="B2" s="10" t="s">
        <v>1068</v>
      </c>
      <c r="C2" s="10"/>
      <c r="D2" s="4"/>
      <c r="E2" s="642"/>
      <c r="F2" s="4"/>
      <c r="G2" s="4"/>
      <c r="H2" s="4"/>
      <c r="I2" s="4"/>
      <c r="J2" s="4"/>
      <c r="K2" s="5"/>
    </row>
    <row r="3" spans="1:37" s="362" customFormat="1" ht="18">
      <c r="A3" s="10"/>
      <c r="B3" s="10" t="s">
        <v>1069</v>
      </c>
      <c r="C3" s="4"/>
      <c r="D3" s="4"/>
      <c r="E3" s="642"/>
      <c r="F3" s="4"/>
      <c r="G3" s="4"/>
      <c r="H3" s="4"/>
      <c r="I3" s="4"/>
      <c r="J3" s="5"/>
      <c r="Q3" s="700"/>
    </row>
    <row r="4" spans="1:37" s="362" customFormat="1" ht="15.75">
      <c r="A4" s="10"/>
      <c r="B4" s="10"/>
      <c r="C4" s="69"/>
      <c r="D4" s="69"/>
      <c r="E4" s="643"/>
      <c r="F4" s="69"/>
      <c r="G4" s="69"/>
      <c r="H4" s="69"/>
      <c r="I4" s="69"/>
      <c r="J4" s="211"/>
    </row>
    <row r="5" spans="1:37" s="644" customFormat="1" ht="40.5">
      <c r="A5" s="644" t="s">
        <v>1070</v>
      </c>
      <c r="B5" s="645" t="s">
        <v>1071</v>
      </c>
      <c r="C5" s="645" t="s">
        <v>1072</v>
      </c>
      <c r="D5" s="646" t="s">
        <v>1073</v>
      </c>
      <c r="E5" s="647" t="s">
        <v>1074</v>
      </c>
      <c r="F5" s="717">
        <v>2021</v>
      </c>
      <c r="G5" s="718"/>
      <c r="H5" s="718"/>
      <c r="I5" s="719"/>
      <c r="J5" s="720">
        <v>2022</v>
      </c>
      <c r="K5" s="721"/>
      <c r="L5" s="721"/>
      <c r="M5" s="722"/>
      <c r="N5" s="723">
        <v>2023</v>
      </c>
      <c r="O5" s="724"/>
      <c r="P5" s="724"/>
      <c r="Q5" s="725"/>
      <c r="R5" s="723">
        <v>2024</v>
      </c>
      <c r="S5" s="724"/>
      <c r="T5" s="724"/>
      <c r="U5" s="725"/>
      <c r="V5" s="648" t="s">
        <v>1075</v>
      </c>
      <c r="W5" s="649" t="s">
        <v>1076</v>
      </c>
      <c r="X5" s="713"/>
      <c r="Y5" s="713"/>
      <c r="Z5" s="729"/>
      <c r="AA5" s="729"/>
      <c r="AB5" s="729"/>
      <c r="AC5" s="729"/>
      <c r="AD5" s="730"/>
      <c r="AE5" s="726"/>
      <c r="AF5" s="726"/>
      <c r="AG5" s="726"/>
      <c r="AH5" s="726"/>
      <c r="AI5" s="726"/>
      <c r="AJ5" s="726"/>
      <c r="AK5" s="726"/>
    </row>
    <row r="6" spans="1:37" s="644" customFormat="1" ht="19.899999999999999" customHeight="1">
      <c r="B6" s="645"/>
      <c r="C6" s="645"/>
      <c r="D6" s="646"/>
      <c r="E6" s="650"/>
      <c r="F6" s="714" t="s">
        <v>1077</v>
      </c>
      <c r="G6" s="715"/>
      <c r="H6" s="715"/>
      <c r="I6" s="715"/>
      <c r="J6" s="715"/>
      <c r="K6" s="715"/>
      <c r="L6" s="715"/>
      <c r="M6" s="715"/>
      <c r="N6" s="715"/>
      <c r="O6" s="715"/>
      <c r="P6" s="715"/>
      <c r="Q6" s="715"/>
      <c r="R6" s="715"/>
      <c r="S6" s="715"/>
      <c r="T6" s="715"/>
      <c r="U6" s="716"/>
      <c r="V6" s="648"/>
      <c r="W6" s="649"/>
      <c r="X6" s="713"/>
      <c r="Y6" s="713"/>
      <c r="Z6" s="729"/>
      <c r="AA6" s="729"/>
      <c r="AB6" s="729"/>
      <c r="AC6" s="729"/>
      <c r="AD6" s="731"/>
      <c r="AE6" s="727"/>
      <c r="AF6" s="727"/>
      <c r="AG6" s="727"/>
      <c r="AH6" s="727"/>
      <c r="AI6" s="727"/>
      <c r="AJ6" s="727"/>
      <c r="AK6" s="727"/>
    </row>
    <row r="7" spans="1:37">
      <c r="B7" s="652"/>
      <c r="C7" s="653"/>
      <c r="D7" s="653"/>
      <c r="E7" s="654"/>
      <c r="F7" s="655" t="s">
        <v>1078</v>
      </c>
      <c r="G7" s="655" t="s">
        <v>1079</v>
      </c>
      <c r="H7" s="655" t="s">
        <v>1080</v>
      </c>
      <c r="I7" s="655" t="s">
        <v>1081</v>
      </c>
      <c r="J7" s="653" t="s">
        <v>1078</v>
      </c>
      <c r="K7" s="653" t="s">
        <v>1079</v>
      </c>
      <c r="L7" s="653" t="s">
        <v>1080</v>
      </c>
      <c r="M7" s="653" t="s">
        <v>1081</v>
      </c>
      <c r="N7" s="656" t="s">
        <v>1078</v>
      </c>
      <c r="O7" s="656" t="s">
        <v>1079</v>
      </c>
      <c r="P7" s="656" t="s">
        <v>1082</v>
      </c>
      <c r="Q7" s="656" t="s">
        <v>1081</v>
      </c>
      <c r="R7" s="656" t="s">
        <v>1078</v>
      </c>
      <c r="S7" s="656" t="s">
        <v>1079</v>
      </c>
      <c r="T7" s="656" t="s">
        <v>1082</v>
      </c>
      <c r="U7" s="656" t="s">
        <v>1081</v>
      </c>
      <c r="V7" s="657"/>
      <c r="W7" s="658" t="s">
        <v>1081</v>
      </c>
      <c r="X7" s="713"/>
      <c r="Y7" s="713"/>
      <c r="Z7" s="729"/>
      <c r="AA7" s="729"/>
      <c r="AB7" s="729"/>
      <c r="AC7" s="729"/>
      <c r="AD7" s="732"/>
      <c r="AE7" s="728"/>
      <c r="AF7" s="728"/>
      <c r="AG7" s="728"/>
      <c r="AH7" s="728"/>
      <c r="AI7" s="728"/>
      <c r="AJ7" s="728"/>
      <c r="AK7" s="728"/>
    </row>
    <row r="8" spans="1:37">
      <c r="J8" s="662"/>
      <c r="K8" s="662"/>
      <c r="L8" s="662"/>
      <c r="M8" s="662"/>
      <c r="N8" s="663"/>
      <c r="O8" s="663"/>
      <c r="P8" s="663"/>
      <c r="Q8" s="663"/>
      <c r="R8" s="663"/>
      <c r="S8" s="663"/>
      <c r="T8" s="663"/>
      <c r="U8" s="663"/>
    </row>
    <row r="9" spans="1:37">
      <c r="A9" s="651" t="s">
        <v>1083</v>
      </c>
      <c r="B9" s="666" t="s">
        <v>656</v>
      </c>
      <c r="C9" s="667">
        <v>7</v>
      </c>
      <c r="D9" s="668">
        <v>7</v>
      </c>
      <c r="E9" s="668">
        <v>7</v>
      </c>
      <c r="F9" s="668">
        <v>507964.54379999998</v>
      </c>
      <c r="G9" s="668">
        <v>151188.86411405451</v>
      </c>
      <c r="H9" s="668">
        <v>131993.564754241</v>
      </c>
      <c r="I9" s="668">
        <v>791146.97266829549</v>
      </c>
      <c r="J9" s="669">
        <f>'[3]Staff Details 2022-2024'!J186</f>
        <v>444782.68663300003</v>
      </c>
      <c r="K9" s="669">
        <f>'[3]Staff Details 2022-2024'!M186</f>
        <v>140267.27115861667</v>
      </c>
      <c r="L9" s="669">
        <f>M9-J9-K9</f>
        <v>118551.06136750287</v>
      </c>
      <c r="M9" s="669">
        <f>'[3]Staff Details 2022-2024'!T186</f>
        <v>703601.01915911958</v>
      </c>
      <c r="N9" s="670">
        <f>'[3]Staff Details 2022-2024'!V186</f>
        <v>458126.16723199002</v>
      </c>
      <c r="O9" s="670">
        <f>'[3]Staff Details 2022-2024'!Y186</f>
        <v>147280.6347165475</v>
      </c>
      <c r="P9" s="670">
        <f>Q9-N9-O9</f>
        <v>121668.79692143184</v>
      </c>
      <c r="Q9" s="670">
        <f>'[3]Staff Details 2022-2024'!AF186</f>
        <v>727075.59886996937</v>
      </c>
      <c r="R9" s="670">
        <f>'[3]Staff Details 2022-2024'!AH186</f>
        <v>471869.95224894979</v>
      </c>
      <c r="S9" s="670">
        <f>'[3]Staff Details 2022-2024'!AK186</f>
        <v>153171.8601052094</v>
      </c>
      <c r="T9" s="670">
        <f>U9-R9-S9</f>
        <v>125586.86159278394</v>
      </c>
      <c r="U9" s="670">
        <f>'[3]Staff Details 2022-2024'!AR186</f>
        <v>750628.67394694313</v>
      </c>
      <c r="V9" s="671">
        <f>Q9+U9</f>
        <v>1477704.2728169125</v>
      </c>
      <c r="W9" s="671">
        <f t="shared" ref="W9:W41" si="0">+M9+Q9+U9</f>
        <v>2181305.2919760318</v>
      </c>
      <c r="Y9" s="671"/>
    </row>
    <row r="10" spans="1:37">
      <c r="A10" s="651" t="s">
        <v>1083</v>
      </c>
      <c r="B10" s="666" t="s">
        <v>882</v>
      </c>
      <c r="C10" s="667">
        <v>7</v>
      </c>
      <c r="D10" s="668">
        <v>6</v>
      </c>
      <c r="E10" s="668">
        <v>6</v>
      </c>
      <c r="F10" s="668">
        <v>590337.41786019143</v>
      </c>
      <c r="G10" s="668">
        <v>162175.10400000005</v>
      </c>
      <c r="H10" s="668">
        <v>280245.18845055246</v>
      </c>
      <c r="I10" s="668">
        <v>875986.81864505936</v>
      </c>
      <c r="J10" s="669">
        <f>'[3]Staff Details 2022-2024'!J187</f>
        <v>608047.540395997</v>
      </c>
      <c r="K10" s="669">
        <f>'[3]Staff Details 2022-2024'!M187</f>
        <v>166333.44000000003</v>
      </c>
      <c r="L10" s="669">
        <f t="shared" ref="L10:L41" si="1">M10-J10-K10</f>
        <v>131521.46184033391</v>
      </c>
      <c r="M10" s="669">
        <f>'[3]Staff Details 2022-2024'!T187</f>
        <v>905902.44223633094</v>
      </c>
      <c r="N10" s="670">
        <f>'[3]Staff Details 2022-2024'!V187</f>
        <v>626288.96660787694</v>
      </c>
      <c r="O10" s="670">
        <f>'[3]Staff Details 2022-2024'!Y187</f>
        <v>174650.11200000002</v>
      </c>
      <c r="P10" s="670">
        <f t="shared" ref="P10:P41" si="2">Q10-N10-O10</f>
        <v>134861.63367468299</v>
      </c>
      <c r="Q10" s="670">
        <f>'[3]Staff Details 2022-2024'!AF187</f>
        <v>935800.71228255995</v>
      </c>
      <c r="R10" s="670">
        <f>'[3]Staff Details 2022-2024'!AH187</f>
        <v>645077.63560611324</v>
      </c>
      <c r="S10" s="670">
        <f>'[3]Staff Details 2022-2024'!AK187</f>
        <v>181636.11648000003</v>
      </c>
      <c r="T10" s="670">
        <f t="shared" ref="T10:T41" si="3">U10-R10-S10</f>
        <v>139237.6814879842</v>
      </c>
      <c r="U10" s="670">
        <f>'[3]Staff Details 2022-2024'!AR187</f>
        <v>965951.43357409746</v>
      </c>
      <c r="V10" s="671">
        <f t="shared" ref="V10:V41" si="4">Q10+U10</f>
        <v>1901752.1458566575</v>
      </c>
      <c r="W10" s="671">
        <f t="shared" si="0"/>
        <v>2807654.5880929884</v>
      </c>
      <c r="Y10" s="671"/>
    </row>
    <row r="11" spans="1:37">
      <c r="A11" s="651" t="s">
        <v>1083</v>
      </c>
      <c r="B11" s="666" t="s">
        <v>973</v>
      </c>
      <c r="C11" s="667">
        <v>4</v>
      </c>
      <c r="D11" s="668">
        <v>3</v>
      </c>
      <c r="E11" s="668">
        <v>3</v>
      </c>
      <c r="F11" s="668">
        <v>411120.85379999998</v>
      </c>
      <c r="G11" s="668">
        <v>47641.775999999998</v>
      </c>
      <c r="H11" s="668">
        <v>149400.13017260001</v>
      </c>
      <c r="I11" s="668">
        <v>564176.04264168791</v>
      </c>
      <c r="J11" s="669">
        <f>'[3]Staff Details 2022-2024'!J188</f>
        <v>423454.47941400006</v>
      </c>
      <c r="K11" s="669">
        <f>'[3]Staff Details 2022-2024'!M188</f>
        <v>48863.360000000001</v>
      </c>
      <c r="L11" s="669">
        <f t="shared" si="1"/>
        <v>110228.25026640155</v>
      </c>
      <c r="M11" s="669">
        <f>'[3]Staff Details 2022-2024'!T188</f>
        <v>582546.08968040161</v>
      </c>
      <c r="N11" s="670">
        <f>'[3]Staff Details 2022-2024'!V188</f>
        <v>436158.11379642005</v>
      </c>
      <c r="O11" s="670">
        <f>'[3]Staff Details 2022-2024'!Y188</f>
        <v>51306.528000000006</v>
      </c>
      <c r="P11" s="670">
        <f t="shared" si="2"/>
        <v>114136.97291180647</v>
      </c>
      <c r="Q11" s="670">
        <f>'[3]Staff Details 2022-2024'!AF188</f>
        <v>601601.61470822652</v>
      </c>
      <c r="R11" s="670">
        <f>'[3]Staff Details 2022-2024'!AH188</f>
        <v>449242.85721031268</v>
      </c>
      <c r="S11" s="670">
        <f>'[3]Staff Details 2022-2024'!AK188</f>
        <v>53358.789120000001</v>
      </c>
      <c r="T11" s="670">
        <f t="shared" si="3"/>
        <v>117838.88627064021</v>
      </c>
      <c r="U11" s="670">
        <f>'[3]Staff Details 2022-2024'!AR188</f>
        <v>620440.53260095289</v>
      </c>
      <c r="V11" s="671">
        <f t="shared" si="4"/>
        <v>1222042.1473091794</v>
      </c>
      <c r="W11" s="671">
        <f t="shared" si="0"/>
        <v>1804588.236989581</v>
      </c>
      <c r="Y11" s="671"/>
    </row>
    <row r="12" spans="1:37">
      <c r="A12" s="651" t="s">
        <v>1083</v>
      </c>
      <c r="B12" s="666" t="s">
        <v>1084</v>
      </c>
      <c r="C12" s="667">
        <v>3</v>
      </c>
      <c r="D12" s="668">
        <v>4</v>
      </c>
      <c r="E12" s="668">
        <v>4</v>
      </c>
      <c r="F12" s="668">
        <v>258632.8352</v>
      </c>
      <c r="G12" s="668">
        <v>111200.28192000001</v>
      </c>
      <c r="H12" s="668">
        <v>177749.10912472801</v>
      </c>
      <c r="I12" s="668">
        <v>438521.00141605601</v>
      </c>
      <c r="J12" s="669">
        <f>'[3]Staff Details 2022-2024'!J189</f>
        <v>327961.10025599995</v>
      </c>
      <c r="K12" s="669">
        <f>'[3]Staff Details 2022-2024'!M189</f>
        <v>126461.42080000001</v>
      </c>
      <c r="L12" s="669">
        <f t="shared" si="1"/>
        <v>78749.834917592889</v>
      </c>
      <c r="M12" s="669">
        <f>'[3]Staff Details 2022-2024'!T189</f>
        <v>533172.35597359284</v>
      </c>
      <c r="N12" s="670">
        <f>'[3]Staff Details 2022-2024'!V189</f>
        <v>337799.93326367997</v>
      </c>
      <c r="O12" s="670">
        <f>'[3]Staff Details 2022-2024'!Y189</f>
        <v>130706.82400000001</v>
      </c>
      <c r="P12" s="670">
        <f t="shared" si="2"/>
        <v>86926.022385397358</v>
      </c>
      <c r="Q12" s="670">
        <f>'[3]Staff Details 2022-2024'!AF189</f>
        <v>555432.77964907733</v>
      </c>
      <c r="R12" s="670">
        <f>'[3]Staff Details 2022-2024'!AH189</f>
        <v>347933.93126159039</v>
      </c>
      <c r="S12" s="670">
        <f>'[3]Staff Details 2022-2024'!AK189</f>
        <v>135935.09696000002</v>
      </c>
      <c r="T12" s="670">
        <f t="shared" si="3"/>
        <v>89744.232844717946</v>
      </c>
      <c r="U12" s="670">
        <f>'[3]Staff Details 2022-2024'!AR189</f>
        <v>573613.26106630836</v>
      </c>
      <c r="V12" s="671">
        <f t="shared" si="4"/>
        <v>1129046.0407153857</v>
      </c>
      <c r="W12" s="671">
        <f t="shared" si="0"/>
        <v>1662218.3966889787</v>
      </c>
      <c r="Y12" s="671"/>
    </row>
    <row r="13" spans="1:37">
      <c r="A13" s="651" t="s">
        <v>1083</v>
      </c>
      <c r="B13" s="666" t="s">
        <v>1085</v>
      </c>
      <c r="C13" s="667">
        <v>19</v>
      </c>
      <c r="D13" s="668">
        <v>18</v>
      </c>
      <c r="E13" s="668">
        <v>18</v>
      </c>
      <c r="F13" s="668">
        <v>1573237.4417599998</v>
      </c>
      <c r="G13" s="668">
        <v>400809.86400000006</v>
      </c>
      <c r="H13" s="668">
        <v>326723.76170720003</v>
      </c>
      <c r="I13" s="668">
        <v>2311490.0311741536</v>
      </c>
      <c r="J13" s="669">
        <f>'[3]Staff Details 2022-2024'!J190</f>
        <v>1667801.9331358001</v>
      </c>
      <c r="K13" s="669">
        <f>'[3]Staff Details 2022-2024'!M190</f>
        <v>434750.48</v>
      </c>
      <c r="L13" s="669">
        <f t="shared" si="1"/>
        <v>366758.99815775547</v>
      </c>
      <c r="M13" s="669">
        <f>'[3]Staff Details 2022-2024'!T190</f>
        <v>2469311.4112935555</v>
      </c>
      <c r="N13" s="670">
        <f>'[3]Staff Details 2022-2024'!V190</f>
        <v>1784135.991129874</v>
      </c>
      <c r="O13" s="670">
        <f>'[3]Staff Details 2022-2024'!Y190</f>
        <v>486318.00399999996</v>
      </c>
      <c r="P13" s="670">
        <f t="shared" si="2"/>
        <v>388441.19986783201</v>
      </c>
      <c r="Q13" s="670">
        <f>'[3]Staff Details 2022-2024'!AF190</f>
        <v>2658895.194997706</v>
      </c>
      <c r="R13" s="670">
        <f>'[3]Staff Details 2022-2024'!AH190</f>
        <v>1837660.0708637703</v>
      </c>
      <c r="S13" s="670">
        <f>'[3]Staff Details 2022-2024'!AK190</f>
        <v>505770.72416000022</v>
      </c>
      <c r="T13" s="670">
        <f t="shared" si="3"/>
        <v>402081.66343460418</v>
      </c>
      <c r="U13" s="670">
        <f>'[3]Staff Details 2022-2024'!AR190</f>
        <v>2745512.4584583747</v>
      </c>
      <c r="V13" s="671">
        <f t="shared" si="4"/>
        <v>5404407.6534560807</v>
      </c>
      <c r="W13" s="671">
        <f t="shared" si="0"/>
        <v>7873719.0647496358</v>
      </c>
      <c r="Y13" s="671"/>
    </row>
    <row r="14" spans="1:37">
      <c r="A14" s="651" t="s">
        <v>1083</v>
      </c>
      <c r="B14" s="666" t="s">
        <v>1086</v>
      </c>
      <c r="C14" s="667">
        <v>7</v>
      </c>
      <c r="D14" s="668">
        <v>6</v>
      </c>
      <c r="E14" s="668">
        <v>6</v>
      </c>
      <c r="F14" s="668">
        <v>647317.54672800004</v>
      </c>
      <c r="G14" s="668">
        <v>243262.24000000005</v>
      </c>
      <c r="H14" s="668">
        <v>135773.00311442002</v>
      </c>
      <c r="I14" s="668">
        <v>1030788.0710999926</v>
      </c>
      <c r="J14" s="669">
        <f>'[3]Staff Details 2022-2024'!J191</f>
        <v>666737.07312984008</v>
      </c>
      <c r="K14" s="669">
        <f>'[3]Staff Details 2022-2024'!M191</f>
        <v>249873.97760000001</v>
      </c>
      <c r="L14" s="669">
        <f t="shared" si="1"/>
        <v>148971.72626807095</v>
      </c>
      <c r="M14" s="669">
        <f>'[3]Staff Details 2022-2024'!T191</f>
        <v>1065582.776997911</v>
      </c>
      <c r="N14" s="670">
        <f>'[3]Staff Details 2022-2024'!V191</f>
        <v>686739.18532373523</v>
      </c>
      <c r="O14" s="670">
        <f>'[3]Staff Details 2022-2024'!Y191</f>
        <v>258967.40000000002</v>
      </c>
      <c r="P14" s="670">
        <f t="shared" si="2"/>
        <v>152755.09507526655</v>
      </c>
      <c r="Q14" s="670">
        <f>'[3]Staff Details 2022-2024'!AF191</f>
        <v>1098461.6803990018</v>
      </c>
      <c r="R14" s="670">
        <f>'[3]Staff Details 2022-2024'!AH191</f>
        <v>707341.36088344723</v>
      </c>
      <c r="S14" s="670">
        <f>'[3]Staff Details 2022-2024'!AK191</f>
        <v>269326.09600000008</v>
      </c>
      <c r="T14" s="670">
        <f t="shared" si="3"/>
        <v>157711.46616179653</v>
      </c>
      <c r="U14" s="670">
        <f>'[3]Staff Details 2022-2024'!AR191</f>
        <v>1134378.9230452438</v>
      </c>
      <c r="V14" s="671">
        <f t="shared" si="4"/>
        <v>2232840.6034442456</v>
      </c>
      <c r="W14" s="671">
        <f t="shared" si="0"/>
        <v>3298423.3804421565</v>
      </c>
      <c r="Y14" s="671"/>
    </row>
    <row r="15" spans="1:37">
      <c r="B15" s="666" t="s">
        <v>113</v>
      </c>
      <c r="C15" s="667">
        <v>0</v>
      </c>
      <c r="D15" s="668">
        <v>1</v>
      </c>
      <c r="E15" s="668">
        <v>1</v>
      </c>
      <c r="F15" s="668">
        <v>61532.200000000004</v>
      </c>
      <c r="G15" s="668">
        <v>7098</v>
      </c>
      <c r="H15" s="668">
        <v>12726.57</v>
      </c>
      <c r="I15" s="668">
        <v>81771.83157200001</v>
      </c>
      <c r="J15" s="669">
        <f>'[3]Staff Details 2022-2024'!J192</f>
        <v>69558.990000000005</v>
      </c>
      <c r="K15" s="669">
        <f>'[3]Staff Details 2022-2024'!M192</f>
        <v>7280</v>
      </c>
      <c r="L15" s="669">
        <f t="shared" si="1"/>
        <v>15033.737843400013</v>
      </c>
      <c r="M15" s="669">
        <f>'[3]Staff Details 2022-2024'!T192</f>
        <v>91872.727843400018</v>
      </c>
      <c r="N15" s="670">
        <f>'[3]Staff Details 2022-2024'!V192</f>
        <v>71645.75970000001</v>
      </c>
      <c r="O15" s="670">
        <f>'[3]Staff Details 2022-2024'!Y192</f>
        <v>6825</v>
      </c>
      <c r="P15" s="670">
        <f t="shared" si="2"/>
        <v>15173.203618350017</v>
      </c>
      <c r="Q15" s="670">
        <f>'[3]Staff Details 2022-2024'!AF192</f>
        <v>93643.963318350026</v>
      </c>
      <c r="R15" s="670">
        <f>'[3]Staff Details 2022-2024'!AH192</f>
        <v>73795.132491000011</v>
      </c>
      <c r="S15" s="670">
        <f>'[3]Staff Details 2022-2024'!AK192</f>
        <v>7098</v>
      </c>
      <c r="T15" s="670">
        <f t="shared" si="3"/>
        <v>15670.984027593644</v>
      </c>
      <c r="U15" s="670">
        <f>'[3]Staff Details 2022-2024'!AR192</f>
        <v>96564.116518593655</v>
      </c>
      <c r="V15" s="671">
        <f t="shared" si="4"/>
        <v>190208.07983694368</v>
      </c>
      <c r="W15" s="671">
        <f t="shared" si="0"/>
        <v>282080.80768034374</v>
      </c>
      <c r="Y15" s="671"/>
    </row>
    <row r="16" spans="1:37">
      <c r="B16" s="651" t="s">
        <v>895</v>
      </c>
      <c r="C16" s="667">
        <v>7</v>
      </c>
      <c r="D16" s="672">
        <v>6.5</v>
      </c>
      <c r="E16" s="673">
        <v>6</v>
      </c>
      <c r="F16" s="672">
        <v>636545.76799999992</v>
      </c>
      <c r="G16" s="672">
        <v>83699.615999999995</v>
      </c>
      <c r="H16" s="672">
        <v>131357.28032399999</v>
      </c>
      <c r="I16" s="672">
        <v>855916.64951740007</v>
      </c>
      <c r="J16" s="669">
        <f>'[3]Staff Details 2022-2024'!J193</f>
        <v>655642.14104000002</v>
      </c>
      <c r="K16" s="669">
        <f>'[3]Staff Details 2022-2024'!M193</f>
        <v>112577.92</v>
      </c>
      <c r="L16" s="669">
        <f t="shared" si="1"/>
        <v>145943.90377252159</v>
      </c>
      <c r="M16" s="669">
        <f>'[3]Staff Details 2022-2024'!T193</f>
        <v>914163.96481252159</v>
      </c>
      <c r="N16" s="670">
        <f>'[3]Staff Details 2022-2024'!V193</f>
        <v>675311.40527120011</v>
      </c>
      <c r="O16" s="670">
        <f>'[3]Staff Details 2022-2024'!Y193</f>
        <v>118206.81600000002</v>
      </c>
      <c r="P16" s="670">
        <f t="shared" si="2"/>
        <v>147031.63602172278</v>
      </c>
      <c r="Q16" s="670">
        <f>'[3]Staff Details 2022-2024'!AF193</f>
        <v>940549.85729292291</v>
      </c>
      <c r="R16" s="670">
        <f>'[3]Staff Details 2022-2024'!AH193</f>
        <v>695570.74742933607</v>
      </c>
      <c r="S16" s="670">
        <f>'[3]Staff Details 2022-2024'!AK193</f>
        <v>122935.08864</v>
      </c>
      <c r="T16" s="670">
        <f t="shared" si="3"/>
        <v>151832.41787042082</v>
      </c>
      <c r="U16" s="670">
        <f>'[3]Staff Details 2022-2024'!AR193</f>
        <v>970338.25393975689</v>
      </c>
      <c r="V16" s="671">
        <f t="shared" si="4"/>
        <v>1910888.1112326798</v>
      </c>
      <c r="W16" s="671">
        <f t="shared" si="0"/>
        <v>2825052.0760452012</v>
      </c>
      <c r="Y16" s="671"/>
    </row>
    <row r="17" spans="1:25" hidden="1">
      <c r="A17" s="651" t="s">
        <v>1083</v>
      </c>
      <c r="B17" s="666" t="s">
        <v>1087</v>
      </c>
      <c r="C17" s="667">
        <v>0</v>
      </c>
      <c r="D17" s="668">
        <v>0</v>
      </c>
      <c r="E17" s="668">
        <v>0</v>
      </c>
      <c r="F17" s="668">
        <v>0</v>
      </c>
      <c r="G17" s="668">
        <v>0</v>
      </c>
      <c r="H17" s="668">
        <v>0</v>
      </c>
      <c r="I17" s="668">
        <v>0</v>
      </c>
      <c r="J17" s="669">
        <f>'[3]Staff Details 2022-2024'!J194</f>
        <v>0</v>
      </c>
      <c r="K17" s="669">
        <f>'[3]Staff Details 2022-2024'!M194</f>
        <v>0</v>
      </c>
      <c r="L17" s="669">
        <f t="shared" si="1"/>
        <v>0</v>
      </c>
      <c r="M17" s="669">
        <f>'[3]Staff Details 2022-2024'!T194</f>
        <v>0</v>
      </c>
      <c r="N17" s="670">
        <f>'[3]Staff Details 2022-2024'!V194</f>
        <v>0</v>
      </c>
      <c r="O17" s="670">
        <f>'[3]Staff Details 2022-2024'!Y194</f>
        <v>0</v>
      </c>
      <c r="P17" s="670">
        <f t="shared" si="2"/>
        <v>0</v>
      </c>
      <c r="Q17" s="670">
        <f>'[3]Staff Details 2022-2024'!AF194</f>
        <v>0</v>
      </c>
      <c r="R17" s="670">
        <f>'[3]Staff Details 2022-2024'!AH194</f>
        <v>0</v>
      </c>
      <c r="S17" s="670">
        <f>'[3]Staff Details 2022-2024'!AK194</f>
        <v>0</v>
      </c>
      <c r="T17" s="670">
        <f t="shared" si="3"/>
        <v>0</v>
      </c>
      <c r="U17" s="670">
        <f>'[3]Staff Details 2022-2024'!AR194</f>
        <v>0</v>
      </c>
      <c r="V17" s="671">
        <f t="shared" si="4"/>
        <v>0</v>
      </c>
      <c r="W17" s="671">
        <f t="shared" si="0"/>
        <v>0</v>
      </c>
      <c r="Y17" s="671"/>
    </row>
    <row r="18" spans="1:25">
      <c r="A18" s="651" t="s">
        <v>1083</v>
      </c>
      <c r="B18" s="666" t="s">
        <v>1088</v>
      </c>
      <c r="C18" s="667">
        <v>3</v>
      </c>
      <c r="D18" s="668">
        <v>3</v>
      </c>
      <c r="E18" s="668">
        <v>3</v>
      </c>
      <c r="F18" s="668">
        <v>270365.48485999997</v>
      </c>
      <c r="G18" s="668">
        <v>66607.632000000012</v>
      </c>
      <c r="H18" s="668">
        <v>66180.831556128003</v>
      </c>
      <c r="I18" s="668">
        <v>405298.44953130541</v>
      </c>
      <c r="J18" s="669">
        <f>'[3]Staff Details 2022-2024'!J195</f>
        <v>278476.44940580003</v>
      </c>
      <c r="K18" s="669">
        <f>'[3]Staff Details 2022-2024'!M195</f>
        <v>68315.520000000004</v>
      </c>
      <c r="L18" s="669">
        <f t="shared" si="1"/>
        <v>71196.587415761154</v>
      </c>
      <c r="M18" s="669">
        <f>'[3]Staff Details 2022-2024'!T195</f>
        <v>417988.55682156119</v>
      </c>
      <c r="N18" s="670">
        <f>'[3]Staff Details 2022-2024'!V195</f>
        <v>286830.74288797402</v>
      </c>
      <c r="O18" s="670">
        <f>'[3]Staff Details 2022-2024'!Y195</f>
        <v>71731.296000000002</v>
      </c>
      <c r="P18" s="670">
        <f t="shared" si="2"/>
        <v>73645.42758842677</v>
      </c>
      <c r="Q18" s="670">
        <f>'[3]Staff Details 2022-2024'!AF195</f>
        <v>432207.46647640079</v>
      </c>
      <c r="R18" s="670">
        <f>'[3]Staff Details 2022-2024'!AH195</f>
        <v>295435.66517461324</v>
      </c>
      <c r="S18" s="670">
        <f>'[3]Staff Details 2022-2024'!AK195</f>
        <v>74600.547840000014</v>
      </c>
      <c r="T18" s="670">
        <f t="shared" si="3"/>
        <v>76027.261321612343</v>
      </c>
      <c r="U18" s="670">
        <f>'[3]Staff Details 2022-2024'!AR195</f>
        <v>446063.4743362256</v>
      </c>
      <c r="V18" s="671">
        <f t="shared" si="4"/>
        <v>878270.94081262639</v>
      </c>
      <c r="W18" s="671">
        <f t="shared" si="0"/>
        <v>1296259.4976341876</v>
      </c>
      <c r="Y18" s="671"/>
    </row>
    <row r="19" spans="1:25">
      <c r="A19" s="651" t="s">
        <v>1083</v>
      </c>
      <c r="B19" s="666" t="s">
        <v>1089</v>
      </c>
      <c r="C19" s="667">
        <v>21</v>
      </c>
      <c r="D19" s="668">
        <v>11</v>
      </c>
      <c r="E19" s="668">
        <v>11</v>
      </c>
      <c r="F19" s="668">
        <v>851486.10620000015</v>
      </c>
      <c r="G19" s="668">
        <v>233517.43999999997</v>
      </c>
      <c r="H19" s="668">
        <v>179570.30880600004</v>
      </c>
      <c r="I19" s="668">
        <v>1270435.9873108924</v>
      </c>
      <c r="J19" s="669">
        <f>'[3]Staff Details 2022-2024'!J196</f>
        <v>876966.15988599998</v>
      </c>
      <c r="K19" s="669">
        <f>'[3]Staff Details 2022-2024'!M196</f>
        <v>230404.42879999999</v>
      </c>
      <c r="L19" s="669">
        <f t="shared" si="1"/>
        <v>197123.63283318619</v>
      </c>
      <c r="M19" s="669">
        <f>'[3]Staff Details 2022-2024'!T196</f>
        <v>1304494.2215191862</v>
      </c>
      <c r="N19" s="670">
        <f>'[3]Staff Details 2022-2024'!V196</f>
        <v>903275.14468258014</v>
      </c>
      <c r="O19" s="670">
        <f>'[3]Staff Details 2022-2024'!Y196</f>
        <v>224536</v>
      </c>
      <c r="P19" s="670">
        <f t="shared" si="2"/>
        <v>202156.11190822301</v>
      </c>
      <c r="Q19" s="670">
        <f>'[3]Staff Details 2022-2024'!AF196</f>
        <v>1329967.2565908032</v>
      </c>
      <c r="R19" s="670">
        <f>'[3]Staff Details 2022-2024'!AH196</f>
        <v>930373.39902305766</v>
      </c>
      <c r="S19" s="670">
        <f>'[3]Staff Details 2022-2024'!AK196</f>
        <v>233517.43999999994</v>
      </c>
      <c r="T19" s="670">
        <f t="shared" si="3"/>
        <v>208733.13824872742</v>
      </c>
      <c r="U19" s="670">
        <f>'[3]Staff Details 2022-2024'!AR196</f>
        <v>1372623.977271785</v>
      </c>
      <c r="V19" s="671">
        <f t="shared" si="4"/>
        <v>2702591.2338625882</v>
      </c>
      <c r="W19" s="671">
        <f t="shared" si="0"/>
        <v>4007085.4553817743</v>
      </c>
      <c r="Y19" s="671"/>
    </row>
    <row r="20" spans="1:25" hidden="1">
      <c r="B20" s="666" t="s">
        <v>1090</v>
      </c>
      <c r="C20" s="667">
        <v>0</v>
      </c>
      <c r="D20" s="668">
        <v>0</v>
      </c>
      <c r="E20" s="668">
        <v>0</v>
      </c>
      <c r="F20" s="668">
        <v>0</v>
      </c>
      <c r="G20" s="668">
        <v>0</v>
      </c>
      <c r="H20" s="668">
        <v>0</v>
      </c>
      <c r="I20" s="668">
        <v>0</v>
      </c>
      <c r="J20" s="669">
        <f>'[3]Staff Details 2022-2024'!J197</f>
        <v>0</v>
      </c>
      <c r="K20" s="669">
        <f>'[3]Staff Details 2022-2024'!M197</f>
        <v>0</v>
      </c>
      <c r="L20" s="669">
        <f t="shared" si="1"/>
        <v>0</v>
      </c>
      <c r="M20" s="669">
        <f>'[3]Staff Details 2022-2024'!T197</f>
        <v>0</v>
      </c>
      <c r="N20" s="670">
        <f>'[3]Staff Details 2022-2024'!V197</f>
        <v>0</v>
      </c>
      <c r="O20" s="670">
        <f>'[3]Staff Details 2022-2024'!Y197</f>
        <v>0</v>
      </c>
      <c r="P20" s="670">
        <f t="shared" si="2"/>
        <v>0</v>
      </c>
      <c r="Q20" s="670">
        <f>'[3]Staff Details 2022-2024'!AF197</f>
        <v>0</v>
      </c>
      <c r="R20" s="670">
        <f>'[3]Staff Details 2022-2024'!AH197</f>
        <v>0</v>
      </c>
      <c r="S20" s="670">
        <f>'[3]Staff Details 2022-2024'!AK197</f>
        <v>0</v>
      </c>
      <c r="T20" s="670">
        <f t="shared" si="3"/>
        <v>0</v>
      </c>
      <c r="U20" s="670">
        <f>'[3]Staff Details 2022-2024'!AR197</f>
        <v>0</v>
      </c>
      <c r="V20" s="671">
        <f t="shared" si="4"/>
        <v>0</v>
      </c>
      <c r="W20" s="671">
        <f t="shared" si="0"/>
        <v>0</v>
      </c>
      <c r="Y20" s="671"/>
    </row>
    <row r="21" spans="1:25">
      <c r="A21" s="651" t="s">
        <v>1083</v>
      </c>
      <c r="B21" s="666" t="s">
        <v>1091</v>
      </c>
      <c r="C21" s="667">
        <v>6</v>
      </c>
      <c r="D21" s="668">
        <v>7</v>
      </c>
      <c r="E21" s="668">
        <v>7</v>
      </c>
      <c r="F21" s="668">
        <v>681754.3014</v>
      </c>
      <c r="G21" s="668">
        <v>173475.12000000002</v>
      </c>
      <c r="H21" s="668">
        <v>183859.13604880005</v>
      </c>
      <c r="I21" s="668">
        <v>1045016.161599328</v>
      </c>
      <c r="J21" s="669">
        <f>'[3]Staff Details 2022-2024'!J198</f>
        <v>702206.93044200004</v>
      </c>
      <c r="K21" s="669">
        <f>'[3]Staff Details 2022-2024'!M198</f>
        <v>177923.20000000001</v>
      </c>
      <c r="L21" s="669">
        <f t="shared" si="1"/>
        <v>196028.88078872667</v>
      </c>
      <c r="M21" s="669">
        <f>'[3]Staff Details 2022-2024'!T198</f>
        <v>1076159.0112307267</v>
      </c>
      <c r="N21" s="670">
        <f>'[3]Staff Details 2022-2024'!V198</f>
        <v>723273.13835526002</v>
      </c>
      <c r="O21" s="670">
        <f>'[3]Staff Details 2022-2024'!Y198</f>
        <v>186819.36000000002</v>
      </c>
      <c r="P21" s="670">
        <f t="shared" si="2"/>
        <v>202514.23034296939</v>
      </c>
      <c r="Q21" s="670">
        <f>'[3]Staff Details 2022-2024'!AF198</f>
        <v>1112606.7286982294</v>
      </c>
      <c r="R21" s="670">
        <f>'[3]Staff Details 2022-2024'!AH198</f>
        <v>744971.33250591788</v>
      </c>
      <c r="S21" s="670">
        <f>'[3]Staff Details 2022-2024'!AK198</f>
        <v>194292.13439999998</v>
      </c>
      <c r="T21" s="670">
        <f t="shared" si="3"/>
        <v>209038.21506596252</v>
      </c>
      <c r="U21" s="670">
        <f>'[3]Staff Details 2022-2024'!AR198</f>
        <v>1148301.6819718804</v>
      </c>
      <c r="V21" s="671">
        <f t="shared" si="4"/>
        <v>2260908.41067011</v>
      </c>
      <c r="W21" s="671">
        <f t="shared" si="0"/>
        <v>3337067.4219008368</v>
      </c>
      <c r="Y21" s="671"/>
    </row>
    <row r="22" spans="1:25">
      <c r="A22" s="651" t="s">
        <v>1083</v>
      </c>
      <c r="B22" s="666" t="s">
        <v>1092</v>
      </c>
      <c r="C22" s="667">
        <v>4</v>
      </c>
      <c r="D22" s="668">
        <v>4</v>
      </c>
      <c r="E22" s="668">
        <v>4</v>
      </c>
      <c r="F22" s="668">
        <v>262267.67759600002</v>
      </c>
      <c r="G22" s="668">
        <v>88185.551999999996</v>
      </c>
      <c r="H22" s="668">
        <v>55659.282011039999</v>
      </c>
      <c r="I22" s="668">
        <v>407921.71190234425</v>
      </c>
      <c r="J22" s="669">
        <f>'[3]Staff Details 2022-2024'!J199</f>
        <v>270135.70792388002</v>
      </c>
      <c r="K22" s="669">
        <f>'[3]Staff Details 2022-2024'!M199</f>
        <v>90446.720000000001</v>
      </c>
      <c r="L22" s="669">
        <f t="shared" si="1"/>
        <v>61147.286788149708</v>
      </c>
      <c r="M22" s="669">
        <f>'[3]Staff Details 2022-2024'!T199</f>
        <v>421729.71471202973</v>
      </c>
      <c r="N22" s="670">
        <f>'[3]Staff Details 2022-2024'!V199</f>
        <v>278239.77916159644</v>
      </c>
      <c r="O22" s="670">
        <f>'[3]Staff Details 2022-2024'!Y199</f>
        <v>94969.056000000011</v>
      </c>
      <c r="P22" s="670">
        <f t="shared" si="2"/>
        <v>62704.682959631347</v>
      </c>
      <c r="Q22" s="670">
        <f>'[3]Staff Details 2022-2024'!AF199</f>
        <v>435913.5181212278</v>
      </c>
      <c r="R22" s="670">
        <f>'[3]Staff Details 2022-2024'!AH199</f>
        <v>286586.97253644431</v>
      </c>
      <c r="S22" s="670">
        <f>'[3]Staff Details 2022-2024'!AK199</f>
        <v>98767.818240000008</v>
      </c>
      <c r="T22" s="670">
        <f t="shared" si="3"/>
        <v>64738.069347548051</v>
      </c>
      <c r="U22" s="670">
        <f>'[3]Staff Details 2022-2024'!AR199</f>
        <v>450092.86012399237</v>
      </c>
      <c r="V22" s="671">
        <f t="shared" si="4"/>
        <v>886006.37824522017</v>
      </c>
      <c r="W22" s="671">
        <f t="shared" si="0"/>
        <v>1307736.0929572498</v>
      </c>
      <c r="Y22" s="671"/>
    </row>
    <row r="23" spans="1:25">
      <c r="A23" s="651" t="s">
        <v>1083</v>
      </c>
      <c r="B23" s="666" t="s">
        <v>1093</v>
      </c>
      <c r="C23" s="667">
        <v>3</v>
      </c>
      <c r="D23" s="668">
        <v>3</v>
      </c>
      <c r="E23" s="668">
        <v>3</v>
      </c>
      <c r="F23" s="668">
        <v>331190.47450000001</v>
      </c>
      <c r="G23" s="668">
        <v>81087.136000000013</v>
      </c>
      <c r="H23" s="668">
        <v>79002.362542800009</v>
      </c>
      <c r="I23" s="668">
        <v>493861.24867970403</v>
      </c>
      <c r="J23" s="669">
        <f>'[3]Staff Details 2022-2024'!J200</f>
        <v>341126.18873500009</v>
      </c>
      <c r="K23" s="669">
        <f>'[3]Staff Details 2022-2024'!M200</f>
        <v>83166.720000000001</v>
      </c>
      <c r="L23" s="669">
        <f t="shared" si="1"/>
        <v>83260.736728907243</v>
      </c>
      <c r="M23" s="669">
        <f>'[3]Staff Details 2022-2024'!T200</f>
        <v>507553.64546390733</v>
      </c>
      <c r="N23" s="670">
        <f>'[3]Staff Details 2022-2024'!V200</f>
        <v>351359.9743970501</v>
      </c>
      <c r="O23" s="670">
        <f>'[3]Staff Details 2022-2024'!Y200</f>
        <v>84317.288</v>
      </c>
      <c r="P23" s="670">
        <f t="shared" si="2"/>
        <v>86202.833164306241</v>
      </c>
      <c r="Q23" s="670">
        <f>'[3]Staff Details 2022-2024'!AF200</f>
        <v>521880.09556135634</v>
      </c>
      <c r="R23" s="670">
        <f>'[3]Staff Details 2022-2024'!AH200</f>
        <v>361900.77362896153</v>
      </c>
      <c r="S23" s="670">
        <f>'[3]Staff Details 2022-2024'!AK200</f>
        <v>87689.979520000008</v>
      </c>
      <c r="T23" s="670">
        <f t="shared" si="3"/>
        <v>89023.462747193451</v>
      </c>
      <c r="U23" s="670">
        <f>'[3]Staff Details 2022-2024'!AR200</f>
        <v>538614.21589615499</v>
      </c>
      <c r="V23" s="671">
        <f t="shared" si="4"/>
        <v>1060494.3114575113</v>
      </c>
      <c r="W23" s="671">
        <f t="shared" si="0"/>
        <v>1568047.9569214187</v>
      </c>
      <c r="Y23" s="671"/>
    </row>
    <row r="24" spans="1:25">
      <c r="A24" s="651" t="s">
        <v>1083</v>
      </c>
      <c r="B24" s="666" t="s">
        <v>1094</v>
      </c>
      <c r="C24" s="667">
        <v>4</v>
      </c>
      <c r="D24" s="668">
        <v>4</v>
      </c>
      <c r="E24" s="661">
        <v>4.5</v>
      </c>
      <c r="F24" s="668">
        <v>386698.45169999998</v>
      </c>
      <c r="G24" s="668">
        <v>121631.32800000001</v>
      </c>
      <c r="H24" s="668">
        <v>87459.728169399998</v>
      </c>
      <c r="I24" s="668">
        <v>598653.19053777412</v>
      </c>
      <c r="J24" s="669">
        <f>'[3]Staff Details 2022-2024'!J201</f>
        <v>431802.01827</v>
      </c>
      <c r="K24" s="669">
        <f>'[3]Staff Details 2022-2024'!M201</f>
        <v>140533.08000000002</v>
      </c>
      <c r="L24" s="669">
        <f t="shared" si="1"/>
        <v>101507.98344818706</v>
      </c>
      <c r="M24" s="669">
        <f>'[3]Staff Details 2022-2024'!T201</f>
        <v>673843.08171818708</v>
      </c>
      <c r="N24" s="670">
        <f>'[3]Staff Details 2022-2024'!V201</f>
        <v>444756.07881810004</v>
      </c>
      <c r="O24" s="670">
        <f>'[3]Staff Details 2022-2024'!Y201</f>
        <v>147559.73400000003</v>
      </c>
      <c r="P24" s="670">
        <f t="shared" si="2"/>
        <v>103943.50604370903</v>
      </c>
      <c r="Q24" s="670">
        <f>'[3]Staff Details 2022-2024'!AF201</f>
        <v>696259.31886180909</v>
      </c>
      <c r="R24" s="670">
        <f>'[3]Staff Details 2022-2024'!AH201</f>
        <v>458098.76118264307</v>
      </c>
      <c r="S24" s="670">
        <f>'[3]Staff Details 2022-2024'!AK201</f>
        <v>153462.12336000003</v>
      </c>
      <c r="T24" s="670">
        <f t="shared" si="3"/>
        <v>107342.46628351917</v>
      </c>
      <c r="U24" s="670">
        <f>'[3]Staff Details 2022-2024'!AR201</f>
        <v>718903.35082616226</v>
      </c>
      <c r="V24" s="671">
        <f t="shared" si="4"/>
        <v>1415162.6696879715</v>
      </c>
      <c r="W24" s="671">
        <f t="shared" si="0"/>
        <v>2089005.7514061583</v>
      </c>
      <c r="Y24" s="671"/>
    </row>
    <row r="25" spans="1:25">
      <c r="B25" s="651" t="s">
        <v>1095</v>
      </c>
      <c r="C25" s="667">
        <v>1</v>
      </c>
      <c r="D25" s="668">
        <v>1</v>
      </c>
      <c r="E25" s="668">
        <v>1</v>
      </c>
      <c r="F25" s="668">
        <v>63026.413996000003</v>
      </c>
      <c r="G25" s="668">
        <v>26063.856000000003</v>
      </c>
      <c r="H25" s="668">
        <v>13024.687452600001</v>
      </c>
      <c r="I25" s="668">
        <v>102540.09814681495</v>
      </c>
      <c r="J25" s="669">
        <f>'[3]Staff Details 2022-2024'!J202</f>
        <v>64917.206415880006</v>
      </c>
      <c r="K25" s="669">
        <f>'[3]Staff Details 2022-2024'!M202</f>
        <v>26732.16</v>
      </c>
      <c r="L25" s="669">
        <f t="shared" si="1"/>
        <v>13839.822995339407</v>
      </c>
      <c r="M25" s="669">
        <f>'[3]Staff Details 2022-2024'!T202</f>
        <v>105489.18941121941</v>
      </c>
      <c r="N25" s="670">
        <f>'[3]Staff Details 2022-2024'!V202</f>
        <v>66864.722608356402</v>
      </c>
      <c r="O25" s="670">
        <f>'[3]Staff Details 2022-2024'!Y202</f>
        <v>28068.768</v>
      </c>
      <c r="P25" s="670">
        <f t="shared" si="2"/>
        <v>14190.700496017245</v>
      </c>
      <c r="Q25" s="670">
        <f>'[3]Staff Details 2022-2024'!AF202</f>
        <v>109124.19110437365</v>
      </c>
      <c r="R25" s="670">
        <f>'[3]Staff Details 2022-2024'!AH202</f>
        <v>68870.664286607091</v>
      </c>
      <c r="S25" s="670">
        <f>'[3]Staff Details 2022-2024'!AK202</f>
        <v>29191.51872</v>
      </c>
      <c r="T25" s="670">
        <f t="shared" si="3"/>
        <v>14655.263215755571</v>
      </c>
      <c r="U25" s="670">
        <f>'[3]Staff Details 2022-2024'!AR202</f>
        <v>112717.44622236266</v>
      </c>
      <c r="V25" s="671">
        <f t="shared" si="4"/>
        <v>221841.63732673629</v>
      </c>
      <c r="W25" s="671">
        <f t="shared" si="0"/>
        <v>327330.82673795568</v>
      </c>
      <c r="Y25" s="671"/>
    </row>
    <row r="26" spans="1:25">
      <c r="A26" s="651" t="s">
        <v>1083</v>
      </c>
      <c r="B26" s="666" t="s">
        <v>1096</v>
      </c>
      <c r="C26" s="667">
        <v>11</v>
      </c>
      <c r="D26" s="668">
        <v>12</v>
      </c>
      <c r="E26" s="668">
        <v>12</v>
      </c>
      <c r="F26" s="668">
        <v>1218011.3899000001</v>
      </c>
      <c r="G26" s="668">
        <v>277111.46736000001</v>
      </c>
      <c r="H26" s="668">
        <v>282322.95523890009</v>
      </c>
      <c r="I26" s="668">
        <v>1785691.975278591</v>
      </c>
      <c r="J26" s="669">
        <f>'[3]Staff Details 2022-2024'!J203</f>
        <v>1253806.1349910002</v>
      </c>
      <c r="K26" s="669">
        <f>'[3]Staff Details 2022-2024'!M203</f>
        <v>256447.98017279999</v>
      </c>
      <c r="L26" s="669">
        <f t="shared" si="1"/>
        <v>304253.63185262808</v>
      </c>
      <c r="M26" s="669">
        <f>'[3]Staff Details 2022-2024'!T203</f>
        <v>1814507.7470164283</v>
      </c>
      <c r="N26" s="670">
        <f>'[3]Staff Details 2022-2024'!V203</f>
        <v>1291420.3190407301</v>
      </c>
      <c r="O26" s="670">
        <f>'[3]Staff Details 2022-2024'!Y203</f>
        <v>269270.37918143999</v>
      </c>
      <c r="P26" s="670">
        <f t="shared" si="2"/>
        <v>313745.74362930609</v>
      </c>
      <c r="Q26" s="670">
        <f>'[3]Staff Details 2022-2024'!AF203</f>
        <v>1874436.4418514762</v>
      </c>
      <c r="R26" s="670">
        <f>'[3]Staff Details 2022-2024'!AH203</f>
        <v>1330162.9286119519</v>
      </c>
      <c r="S26" s="670">
        <f>'[3]Staff Details 2022-2024'!AK203</f>
        <v>280041.19434869767</v>
      </c>
      <c r="T26" s="670">
        <f t="shared" si="3"/>
        <v>323086.4427961969</v>
      </c>
      <c r="U26" s="670">
        <f>'[3]Staff Details 2022-2024'!AR203</f>
        <v>1933290.5657568465</v>
      </c>
      <c r="V26" s="671">
        <f t="shared" si="4"/>
        <v>3807727.0076083224</v>
      </c>
      <c r="W26" s="671">
        <f t="shared" si="0"/>
        <v>5622234.7546247505</v>
      </c>
      <c r="Y26" s="671"/>
    </row>
    <row r="27" spans="1:25">
      <c r="A27" s="651" t="s">
        <v>1083</v>
      </c>
      <c r="B27" s="666" t="s">
        <v>845</v>
      </c>
      <c r="C27" s="667">
        <v>1</v>
      </c>
      <c r="D27" s="668">
        <v>1</v>
      </c>
      <c r="E27" s="668">
        <v>3</v>
      </c>
      <c r="F27" s="668">
        <v>95291.258035000006</v>
      </c>
      <c r="G27" s="668">
        <v>7098</v>
      </c>
      <c r="H27" s="668">
        <v>19461.993714750002</v>
      </c>
      <c r="I27" s="668">
        <v>122494.0329172991</v>
      </c>
      <c r="J27" s="669">
        <f>'[3]Staff Details 2022-2024'!J204</f>
        <v>331345.41666666669</v>
      </c>
      <c r="K27" s="669">
        <f>'[3]Staff Details 2022-2024'!M204</f>
        <v>84711.026836800011</v>
      </c>
      <c r="L27" s="669">
        <f t="shared" si="1"/>
        <v>50932.159141666576</v>
      </c>
      <c r="M27" s="669">
        <f>'[3]Staff Details 2022-2024'!T204</f>
        <v>466988.60264513327</v>
      </c>
      <c r="N27" s="670">
        <f>'[3]Staff Details 2022-2024'!V204</f>
        <v>451309.95</v>
      </c>
      <c r="O27" s="670">
        <f>'[3]Staff Details 2022-2024'!Y204</f>
        <v>88946.578178640004</v>
      </c>
      <c r="P27" s="670">
        <f t="shared" si="2"/>
        <v>110306.21699849998</v>
      </c>
      <c r="Q27" s="670">
        <f>'[3]Staff Details 2022-2024'!AF204</f>
        <v>650562.74517713999</v>
      </c>
      <c r="R27" s="670">
        <f>'[3]Staff Details 2022-2024'!AH204</f>
        <v>464849.24849999999</v>
      </c>
      <c r="S27" s="670">
        <f>'[3]Staff Details 2022-2024'!AK204</f>
        <v>92504.441305785615</v>
      </c>
      <c r="T27" s="670">
        <f t="shared" si="3"/>
        <v>117095.40898218978</v>
      </c>
      <c r="U27" s="670">
        <f>'[3]Staff Details 2022-2024'!AR204</f>
        <v>674449.09878797538</v>
      </c>
      <c r="V27" s="671">
        <f t="shared" si="4"/>
        <v>1325011.8439651155</v>
      </c>
      <c r="W27" s="671">
        <f t="shared" si="0"/>
        <v>1792000.4466102486</v>
      </c>
      <c r="Y27" s="671"/>
    </row>
    <row r="28" spans="1:25">
      <c r="A28" s="651" t="s">
        <v>1083</v>
      </c>
      <c r="B28" s="666" t="s">
        <v>980</v>
      </c>
      <c r="C28" s="667">
        <v>3</v>
      </c>
      <c r="D28" s="668">
        <v>3</v>
      </c>
      <c r="E28" s="668">
        <v>3</v>
      </c>
      <c r="F28" s="668">
        <v>373749.82915400004</v>
      </c>
      <c r="G28" s="668">
        <v>92671.488000000012</v>
      </c>
      <c r="H28" s="668">
        <v>77742.431175020014</v>
      </c>
      <c r="I28" s="668">
        <v>546721.86633442761</v>
      </c>
      <c r="J28" s="669">
        <f>'[3]Staff Details 2022-2024'!J205</f>
        <v>384962.32402862003</v>
      </c>
      <c r="K28" s="669">
        <f>'[3]Staff Details 2022-2024'!M205</f>
        <v>95047.680000000008</v>
      </c>
      <c r="L28" s="669">
        <f t="shared" si="1"/>
        <v>85184.378331626809</v>
      </c>
      <c r="M28" s="669">
        <f>'[3]Staff Details 2022-2024'!T205</f>
        <v>565194.38236024685</v>
      </c>
      <c r="N28" s="670">
        <f>'[3]Staff Details 2022-2024'!V205</f>
        <v>396511.19374947867</v>
      </c>
      <c r="O28" s="670">
        <f>'[3]Staff Details 2022-2024'!Y205</f>
        <v>99800.063999999998</v>
      </c>
      <c r="P28" s="670">
        <f t="shared" si="2"/>
        <v>87363.380574326045</v>
      </c>
      <c r="Q28" s="670">
        <f>'[3]Staff Details 2022-2024'!AF205</f>
        <v>583674.63832380471</v>
      </c>
      <c r="R28" s="670">
        <f>'[3]Staff Details 2022-2024'!AH205</f>
        <v>408406.52956196299</v>
      </c>
      <c r="S28" s="670">
        <f>'[3]Staff Details 2022-2024'!AK205</f>
        <v>103792.06656000001</v>
      </c>
      <c r="T28" s="670">
        <f t="shared" si="3"/>
        <v>90219.490354022826</v>
      </c>
      <c r="U28" s="670">
        <f>'[3]Staff Details 2022-2024'!AR205</f>
        <v>602418.08647598582</v>
      </c>
      <c r="V28" s="671">
        <f t="shared" si="4"/>
        <v>1186092.7247997904</v>
      </c>
      <c r="W28" s="671">
        <f t="shared" si="0"/>
        <v>1751287.1071600374</v>
      </c>
      <c r="Y28" s="671"/>
    </row>
    <row r="29" spans="1:25">
      <c r="A29" s="651" t="s">
        <v>1083</v>
      </c>
      <c r="B29" s="666" t="s">
        <v>989</v>
      </c>
      <c r="C29" s="667">
        <v>5</v>
      </c>
      <c r="D29" s="668">
        <v>6</v>
      </c>
      <c r="E29" s="668">
        <v>6</v>
      </c>
      <c r="F29" s="668">
        <v>636230.14509999997</v>
      </c>
      <c r="G29" s="668">
        <v>146360.03200000001</v>
      </c>
      <c r="H29" s="668">
        <v>132917.67661299999</v>
      </c>
      <c r="I29" s="668">
        <v>919862.50932166597</v>
      </c>
      <c r="J29" s="669">
        <f>'[3]Staff Details 2022-2024'!J206</f>
        <v>665617.04945299996</v>
      </c>
      <c r="K29" s="669">
        <f>'[3]Staff Details 2022-2024'!M206</f>
        <v>151361.76640000002</v>
      </c>
      <c r="L29" s="669">
        <f t="shared" si="1"/>
        <v>147966.61371102085</v>
      </c>
      <c r="M29" s="669">
        <f>'[3]Staff Details 2022-2024'!T206</f>
        <v>964945.42956402083</v>
      </c>
      <c r="N29" s="670">
        <f>'[3]Staff Details 2022-2024'!V206</f>
        <v>685585.56093658996</v>
      </c>
      <c r="O29" s="670">
        <f>'[3]Staff Details 2022-2024'!Y206</f>
        <v>146745.53599999999</v>
      </c>
      <c r="P29" s="670">
        <f t="shared" si="2"/>
        <v>151734.2058960397</v>
      </c>
      <c r="Q29" s="670">
        <f>'[3]Staff Details 2022-2024'!AF206</f>
        <v>984065.30283262965</v>
      </c>
      <c r="R29" s="670">
        <f>'[3]Staff Details 2022-2024'!AH206</f>
        <v>706153.12776468787</v>
      </c>
      <c r="S29" s="670">
        <f>'[3]Staff Details 2022-2024'!AK206</f>
        <v>152615.35743999999</v>
      </c>
      <c r="T29" s="670">
        <f t="shared" si="3"/>
        <v>156672.54725002212</v>
      </c>
      <c r="U29" s="670">
        <f>'[3]Staff Details 2022-2024'!AR206</f>
        <v>1015441.03245471</v>
      </c>
      <c r="V29" s="671">
        <f t="shared" si="4"/>
        <v>1999506.3352873395</v>
      </c>
      <c r="W29" s="671">
        <f t="shared" si="0"/>
        <v>2964451.7648513606</v>
      </c>
      <c r="Y29" s="671"/>
    </row>
    <row r="30" spans="1:25">
      <c r="A30" s="651" t="s">
        <v>1083</v>
      </c>
      <c r="B30" s="666" t="s">
        <v>125</v>
      </c>
      <c r="C30" s="667">
        <v>2</v>
      </c>
      <c r="D30" s="668">
        <v>3</v>
      </c>
      <c r="E30" s="661">
        <v>3.5</v>
      </c>
      <c r="F30" s="668">
        <v>404320.281066</v>
      </c>
      <c r="G30" s="668">
        <v>55023.696000000004</v>
      </c>
      <c r="H30" s="668">
        <v>78876.200268355999</v>
      </c>
      <c r="I30" s="668">
        <v>543116.26675601676</v>
      </c>
      <c r="J30" s="669">
        <f>'[3]Staff Details 2022-2024'!J207</f>
        <v>891279.88949798001</v>
      </c>
      <c r="K30" s="669">
        <f>'[3]Staff Details 2022-2024'!M207</f>
        <v>98017.919999999998</v>
      </c>
      <c r="L30" s="669">
        <f t="shared" si="1"/>
        <v>185701.03849985352</v>
      </c>
      <c r="M30" s="669">
        <f>'[3]Staff Details 2022-2024'!T207</f>
        <v>1174998.8479978335</v>
      </c>
      <c r="N30" s="670">
        <f>'[3]Staff Details 2022-2024'!V207</f>
        <v>918018.2861829194</v>
      </c>
      <c r="O30" s="670">
        <f>'[3]Staff Details 2022-2024'!Y207</f>
        <v>102918.81600000002</v>
      </c>
      <c r="P30" s="670">
        <f t="shared" si="2"/>
        <v>188842.27230863969</v>
      </c>
      <c r="Q30" s="670">
        <f>'[3]Staff Details 2022-2024'!AF207</f>
        <v>1209779.3744915591</v>
      </c>
      <c r="R30" s="670">
        <f>'[3]Staff Details 2022-2024'!AH207</f>
        <v>945558.83476840716</v>
      </c>
      <c r="S30" s="670">
        <f>'[3]Staff Details 2022-2024'!AK207</f>
        <v>107035.56864000001</v>
      </c>
      <c r="T30" s="670">
        <f t="shared" si="3"/>
        <v>195185.63519232307</v>
      </c>
      <c r="U30" s="670">
        <f>'[3]Staff Details 2022-2024'!AR207</f>
        <v>1247780.0386007302</v>
      </c>
      <c r="V30" s="671">
        <f t="shared" si="4"/>
        <v>2457559.4130922891</v>
      </c>
      <c r="W30" s="671">
        <f t="shared" si="0"/>
        <v>3632558.2610901226</v>
      </c>
      <c r="Y30" s="671"/>
    </row>
    <row r="31" spans="1:25">
      <c r="A31" s="651" t="s">
        <v>1083</v>
      </c>
      <c r="B31" s="666" t="s">
        <v>1097</v>
      </c>
      <c r="C31" s="667">
        <v>6</v>
      </c>
      <c r="D31" s="668">
        <v>6</v>
      </c>
      <c r="E31" s="668">
        <v>3</v>
      </c>
      <c r="F31" s="668">
        <v>635753.66709999996</v>
      </c>
      <c r="G31" s="668">
        <v>451703.61600000004</v>
      </c>
      <c r="H31" s="668">
        <v>110006.69724640001</v>
      </c>
      <c r="I31" s="668">
        <v>1231584.870850788</v>
      </c>
      <c r="J31" s="669">
        <f>'[3]Staff Details 2022-2024'!J208</f>
        <v>654826.27711299993</v>
      </c>
      <c r="K31" s="669">
        <f>'[3]Staff Details 2022-2024'!M208</f>
        <v>468773.76</v>
      </c>
      <c r="L31" s="669">
        <f t="shared" si="1"/>
        <v>198489.61949311802</v>
      </c>
      <c r="M31" s="669">
        <f>'[3]Staff Details 2022-2024'!T208</f>
        <v>1322089.656606118</v>
      </c>
      <c r="N31" s="670">
        <f>'[3]Staff Details 2022-2024'!V208</f>
        <v>674471.06542639015</v>
      </c>
      <c r="O31" s="670">
        <f>'[3]Staff Details 2022-2024'!Y208</f>
        <v>492212.44800000009</v>
      </c>
      <c r="P31" s="670">
        <f t="shared" si="2"/>
        <v>154284.57202645694</v>
      </c>
      <c r="Q31" s="670">
        <f>'[3]Staff Details 2022-2024'!AF208</f>
        <v>1320968.0854528472</v>
      </c>
      <c r="R31" s="670">
        <f>'[3]Staff Details 2022-2024'!AH208</f>
        <v>694705.1973891817</v>
      </c>
      <c r="S31" s="670">
        <f>'[3]Staff Details 2022-2024'!AK208</f>
        <v>511900.94592000003</v>
      </c>
      <c r="T31" s="670">
        <f t="shared" si="3"/>
        <v>159331.8780795972</v>
      </c>
      <c r="U31" s="670">
        <f>'[3]Staff Details 2022-2024'!AR208</f>
        <v>1365938.0213887789</v>
      </c>
      <c r="V31" s="671">
        <f t="shared" si="4"/>
        <v>2686906.1068416261</v>
      </c>
      <c r="W31" s="671">
        <f t="shared" si="0"/>
        <v>4008995.7634477443</v>
      </c>
      <c r="Y31" s="671"/>
    </row>
    <row r="32" spans="1:25">
      <c r="A32" s="651" t="s">
        <v>1083</v>
      </c>
      <c r="B32" s="666" t="s">
        <v>1098</v>
      </c>
      <c r="C32" s="667">
        <v>5</v>
      </c>
      <c r="D32" s="668">
        <v>6</v>
      </c>
      <c r="E32" s="661">
        <v>5.5</v>
      </c>
      <c r="F32" s="668">
        <v>453235.15517102001</v>
      </c>
      <c r="G32" s="668">
        <v>107007.48240000001</v>
      </c>
      <c r="H32" s="668">
        <v>93127.013968587009</v>
      </c>
      <c r="I32" s="668">
        <v>656426.9206765946</v>
      </c>
      <c r="J32" s="669">
        <f>'[3]Staff Details 2022-2024'!J209</f>
        <v>479711.40851815057</v>
      </c>
      <c r="K32" s="669">
        <f>'[3]Staff Details 2022-2024'!M209</f>
        <v>109979.944256</v>
      </c>
      <c r="L32" s="669">
        <f t="shared" si="1"/>
        <v>101645.27512095367</v>
      </c>
      <c r="M32" s="669">
        <f>'[3]Staff Details 2022-2024'!T209</f>
        <v>691336.62789510423</v>
      </c>
      <c r="N32" s="670">
        <f>'[3]Staff Details 2022-2024'!V209</f>
        <v>494102.75077369518</v>
      </c>
      <c r="O32" s="670">
        <f>'[3]Staff Details 2022-2024'!Y209</f>
        <v>115478.94146880004</v>
      </c>
      <c r="P32" s="670">
        <f t="shared" si="2"/>
        <v>104238.11528399438</v>
      </c>
      <c r="Q32" s="670">
        <f>'[3]Staff Details 2022-2024'!AF209</f>
        <v>713819.8075264896</v>
      </c>
      <c r="R32" s="670">
        <f>'[3]Staff Details 2022-2024'!AH209</f>
        <v>508925.83329690597</v>
      </c>
      <c r="S32" s="670">
        <f>'[3]Staff Details 2022-2024'!AK209</f>
        <v>120098.09912755201</v>
      </c>
      <c r="T32" s="670">
        <f t="shared" si="3"/>
        <v>107671.04237581976</v>
      </c>
      <c r="U32" s="670">
        <f>'[3]Staff Details 2022-2024'!AR209</f>
        <v>736694.97480027773</v>
      </c>
      <c r="V32" s="671">
        <f t="shared" si="4"/>
        <v>1450514.7823267672</v>
      </c>
      <c r="W32" s="671">
        <f t="shared" si="0"/>
        <v>2141851.4102218719</v>
      </c>
      <c r="Y32" s="671"/>
    </row>
    <row r="33" spans="1:25">
      <c r="A33" s="651" t="s">
        <v>1083</v>
      </c>
      <c r="B33" s="666" t="s">
        <v>443</v>
      </c>
      <c r="C33" s="667">
        <v>2</v>
      </c>
      <c r="D33" s="668">
        <v>2</v>
      </c>
      <c r="E33" s="668">
        <v>2</v>
      </c>
      <c r="F33" s="668">
        <v>240771.48839800002</v>
      </c>
      <c r="G33" s="668">
        <v>55023.696000000004</v>
      </c>
      <c r="H33" s="668">
        <v>61857.253049103987</v>
      </c>
      <c r="I33" s="668">
        <v>359664.14136975957</v>
      </c>
      <c r="J33" s="669">
        <f>'[3]Staff Details 2022-2024'!J210</f>
        <v>247994.63304994002</v>
      </c>
      <c r="K33" s="669">
        <f>'[3]Staff Details 2022-2024'!M210</f>
        <v>56434.559999999998</v>
      </c>
      <c r="L33" s="669">
        <f t="shared" si="1"/>
        <v>65358.344802516716</v>
      </c>
      <c r="M33" s="669">
        <f>'[3]Staff Details 2022-2024'!T210</f>
        <v>369787.53785245673</v>
      </c>
      <c r="N33" s="670">
        <f>'[3]Staff Details 2022-2024'!V210</f>
        <v>255434.47204143822</v>
      </c>
      <c r="O33" s="670">
        <f>'[3]Staff Details 2022-2024'!Y210</f>
        <v>59256.288000000008</v>
      </c>
      <c r="P33" s="670">
        <f t="shared" si="2"/>
        <v>67509.636252588243</v>
      </c>
      <c r="Q33" s="670">
        <f>'[3]Staff Details 2022-2024'!AF210</f>
        <v>382200.39629402646</v>
      </c>
      <c r="R33" s="670">
        <f>'[3]Staff Details 2022-2024'!AH210</f>
        <v>263097.50620268134</v>
      </c>
      <c r="S33" s="670">
        <f>'[3]Staff Details 2022-2024'!AK210</f>
        <v>61626.539520000006</v>
      </c>
      <c r="T33" s="670">
        <f t="shared" si="3"/>
        <v>69707.879444879931</v>
      </c>
      <c r="U33" s="670">
        <f>'[3]Staff Details 2022-2024'!AR210</f>
        <v>394431.92516756128</v>
      </c>
      <c r="V33" s="671">
        <f t="shared" si="4"/>
        <v>776632.32146158768</v>
      </c>
      <c r="W33" s="671">
        <f t="shared" si="0"/>
        <v>1146419.8593140445</v>
      </c>
      <c r="Y33" s="671"/>
    </row>
    <row r="34" spans="1:25">
      <c r="A34" s="651" t="s">
        <v>1083</v>
      </c>
      <c r="B34" s="666" t="s">
        <v>1099</v>
      </c>
      <c r="C34" s="667">
        <v>9</v>
      </c>
      <c r="D34" s="668">
        <v>8</v>
      </c>
      <c r="E34" s="668">
        <v>8</v>
      </c>
      <c r="F34" s="668">
        <v>1402960.0542000004</v>
      </c>
      <c r="G34" s="668">
        <v>233124.32000000004</v>
      </c>
      <c r="H34" s="668">
        <v>364486.05176119995</v>
      </c>
      <c r="I34" s="668">
        <v>2012400.8475552285</v>
      </c>
      <c r="J34" s="669">
        <f>'[3]Staff Details 2022-2024'!J211</f>
        <v>1394098.028136</v>
      </c>
      <c r="K34" s="669">
        <f>'[3]Staff Details 2022-2024'!M211</f>
        <v>215931.04</v>
      </c>
      <c r="L34" s="669">
        <f t="shared" si="1"/>
        <v>381462.91119046672</v>
      </c>
      <c r="M34" s="669">
        <f>'[3]Staff Details 2022-2024'!T211</f>
        <v>1991491.9793264668</v>
      </c>
      <c r="N34" s="670">
        <f>'[3]Staff Details 2022-2024'!V211</f>
        <v>1435920.96898008</v>
      </c>
      <c r="O34" s="670">
        <f>'[3]Staff Details 2022-2024'!Y211</f>
        <v>226727.59200000003</v>
      </c>
      <c r="P34" s="670">
        <f t="shared" si="2"/>
        <v>393964.3196076554</v>
      </c>
      <c r="Q34" s="670">
        <f>'[3]Staff Details 2022-2024'!AF211</f>
        <v>2056612.8805877354</v>
      </c>
      <c r="R34" s="670">
        <f>'[3]Staff Details 2022-2024'!AH211</f>
        <v>1478998.5980494826</v>
      </c>
      <c r="S34" s="670">
        <f>'[3]Staff Details 2022-2024'!AK211</f>
        <v>235796.69568000003</v>
      </c>
      <c r="T34" s="670">
        <f t="shared" si="3"/>
        <v>406704.86673040281</v>
      </c>
      <c r="U34" s="670">
        <f>'[3]Staff Details 2022-2024'!AR211</f>
        <v>2121500.1604598854</v>
      </c>
      <c r="V34" s="671">
        <f t="shared" si="4"/>
        <v>4178113.0410476206</v>
      </c>
      <c r="W34" s="671">
        <f t="shared" si="0"/>
        <v>6169605.0203740876</v>
      </c>
      <c r="Y34" s="671"/>
    </row>
    <row r="35" spans="1:25">
      <c r="B35" s="666" t="s">
        <v>1100</v>
      </c>
      <c r="C35" s="667">
        <v>3</v>
      </c>
      <c r="D35" s="668">
        <v>3</v>
      </c>
      <c r="E35" s="668">
        <v>3</v>
      </c>
      <c r="F35" s="668">
        <v>289913.68439499999</v>
      </c>
      <c r="G35" s="668">
        <v>69503.616000000009</v>
      </c>
      <c r="H35" s="668">
        <v>79956.014214555005</v>
      </c>
      <c r="I35" s="668">
        <v>441951.82943613187</v>
      </c>
      <c r="J35" s="669">
        <f>'[3]Staff Details 2022-2024'!J212</f>
        <v>298611.09492685</v>
      </c>
      <c r="K35" s="669">
        <f>'[3]Staff Details 2022-2024'!M212</f>
        <v>71285.760000000009</v>
      </c>
      <c r="L35" s="669">
        <f t="shared" si="1"/>
        <v>84535.539704234572</v>
      </c>
      <c r="M35" s="669">
        <f>'[3]Staff Details 2022-2024'!T212</f>
        <v>454432.39463108458</v>
      </c>
      <c r="N35" s="670">
        <f>'[3]Staff Details 2022-2024'!V212</f>
        <v>307569.42777465552</v>
      </c>
      <c r="O35" s="670">
        <f>'[3]Staff Details 2022-2024'!Y212</f>
        <v>73179.288</v>
      </c>
      <c r="P35" s="670">
        <f t="shared" si="2"/>
        <v>87244.914094628009</v>
      </c>
      <c r="Q35" s="670">
        <f>'[3]Staff Details 2022-2024'!AF212</f>
        <v>467993.62986928353</v>
      </c>
      <c r="R35" s="670">
        <f>'[3]Staff Details 2022-2024'!AH212</f>
        <v>316796.51060789521</v>
      </c>
      <c r="S35" s="670">
        <f>'[3]Staff Details 2022-2024'!AK212</f>
        <v>76106.459520000004</v>
      </c>
      <c r="T35" s="670">
        <f t="shared" si="3"/>
        <v>90062.526865528867</v>
      </c>
      <c r="U35" s="670">
        <f>'[3]Staff Details 2022-2024'!AR212</f>
        <v>482965.49699342408</v>
      </c>
      <c r="V35" s="671">
        <f t="shared" si="4"/>
        <v>950959.12686270755</v>
      </c>
      <c r="W35" s="671">
        <f t="shared" si="0"/>
        <v>1405391.5214937923</v>
      </c>
      <c r="Y35" s="671"/>
    </row>
    <row r="36" spans="1:25">
      <c r="A36" s="651" t="s">
        <v>1083</v>
      </c>
      <c r="B36" s="666" t="s">
        <v>1101</v>
      </c>
      <c r="C36" s="667">
        <v>3</v>
      </c>
      <c r="D36" s="668">
        <v>3</v>
      </c>
      <c r="E36" s="668">
        <v>3</v>
      </c>
      <c r="F36" s="668">
        <v>183133.91760000002</v>
      </c>
      <c r="G36" s="668">
        <v>47641.775999999998</v>
      </c>
      <c r="H36" s="668">
        <v>38646.472367799994</v>
      </c>
      <c r="I36" s="668">
        <v>270674.34031621012</v>
      </c>
      <c r="J36" s="669">
        <f>'[3]Staff Details 2022-2024'!J213</f>
        <v>188627.93512800001</v>
      </c>
      <c r="K36" s="669">
        <f>'[3]Staff Details 2022-2024'!M213</f>
        <v>29411.200000000001</v>
      </c>
      <c r="L36" s="669">
        <f t="shared" si="1"/>
        <v>43090.876392221413</v>
      </c>
      <c r="M36" s="669">
        <f>'[3]Staff Details 2022-2024'!T213</f>
        <v>261130.01152022142</v>
      </c>
      <c r="N36" s="670">
        <f>'[3]Staff Details 2022-2024'!V213</f>
        <v>194286.77318183999</v>
      </c>
      <c r="O36" s="670">
        <f>'[3]Staff Details 2022-2024'!Y213</f>
        <v>30881.760000000002</v>
      </c>
      <c r="P36" s="670">
        <f t="shared" si="2"/>
        <v>43531.663838798391</v>
      </c>
      <c r="Q36" s="670">
        <f>'[3]Staff Details 2022-2024'!AF213</f>
        <v>268700.19702063838</v>
      </c>
      <c r="R36" s="670">
        <f>'[3]Staff Details 2022-2024'!AH213</f>
        <v>200115.37637729524</v>
      </c>
      <c r="S36" s="670">
        <f>'[3]Staff Details 2022-2024'!AK213</f>
        <v>32117.030400000003</v>
      </c>
      <c r="T36" s="670">
        <f t="shared" si="3"/>
        <v>44937.641240009034</v>
      </c>
      <c r="U36" s="670">
        <f>'[3]Staff Details 2022-2024'!AR213</f>
        <v>277170.04801730427</v>
      </c>
      <c r="V36" s="671">
        <f t="shared" si="4"/>
        <v>545870.24503794266</v>
      </c>
      <c r="W36" s="671">
        <f t="shared" si="0"/>
        <v>807000.25655816414</v>
      </c>
      <c r="Y36" s="671"/>
    </row>
    <row r="37" spans="1:25">
      <c r="B37" s="666" t="s">
        <v>1102</v>
      </c>
      <c r="C37" s="667">
        <v>0</v>
      </c>
      <c r="D37" s="668">
        <v>2</v>
      </c>
      <c r="E37" s="668">
        <v>2</v>
      </c>
      <c r="F37" s="668">
        <v>162377.40745200001</v>
      </c>
      <c r="G37" s="668">
        <v>66607.632000000012</v>
      </c>
      <c r="H37" s="668">
        <v>33160.674193592</v>
      </c>
      <c r="I37" s="668">
        <v>263236.94070106337</v>
      </c>
      <c r="J37" s="669">
        <f>'[3]Staff Details 2022-2024'!J214</f>
        <v>167248.72967556003</v>
      </c>
      <c r="K37" s="669">
        <f>'[3]Staff Details 2022-2024'!M214</f>
        <v>68315.520000000004</v>
      </c>
      <c r="L37" s="669">
        <f t="shared" si="1"/>
        <v>35965.368663777903</v>
      </c>
      <c r="M37" s="669">
        <f>'[3]Staff Details 2022-2024'!T214</f>
        <v>271529.61833933793</v>
      </c>
      <c r="N37" s="670">
        <f>'[3]Staff Details 2022-2024'!V214</f>
        <v>172266.19156582683</v>
      </c>
      <c r="O37" s="670">
        <f>'[3]Staff Details 2022-2024'!Y214</f>
        <v>71731.296000000002</v>
      </c>
      <c r="P37" s="670">
        <f t="shared" si="2"/>
        <v>36152.109729541262</v>
      </c>
      <c r="Q37" s="670">
        <f>'[3]Staff Details 2022-2024'!AF214</f>
        <v>280149.59729536809</v>
      </c>
      <c r="R37" s="670">
        <f>'[3]Staff Details 2022-2024'!AH214</f>
        <v>177434.17731280165</v>
      </c>
      <c r="S37" s="670">
        <f>'[3]Staff Details 2022-2024'!AK214</f>
        <v>74600.547840000014</v>
      </c>
      <c r="T37" s="670">
        <f t="shared" si="3"/>
        <v>37344.522996185173</v>
      </c>
      <c r="U37" s="670">
        <f>'[3]Staff Details 2022-2024'!AR214</f>
        <v>289379.24814898684</v>
      </c>
      <c r="V37" s="671">
        <f t="shared" si="4"/>
        <v>569528.84544435493</v>
      </c>
      <c r="W37" s="671">
        <f t="shared" si="0"/>
        <v>841058.4637836928</v>
      </c>
      <c r="Y37" s="671"/>
    </row>
    <row r="38" spans="1:25">
      <c r="A38" s="651" t="s">
        <v>1083</v>
      </c>
      <c r="B38" s="666" t="s">
        <v>1103</v>
      </c>
      <c r="C38" s="667">
        <v>1</v>
      </c>
      <c r="D38" s="668">
        <v>0</v>
      </c>
      <c r="E38" s="668">
        <v>0</v>
      </c>
      <c r="F38" s="668">
        <v>0</v>
      </c>
      <c r="G38" s="668">
        <v>0</v>
      </c>
      <c r="H38" s="668">
        <v>0</v>
      </c>
      <c r="I38" s="668">
        <v>0</v>
      </c>
      <c r="J38" s="669">
        <f>'[3]Staff Details 2022-2024'!J215</f>
        <v>0</v>
      </c>
      <c r="K38" s="669">
        <f>'[3]Staff Details 2022-2024'!M215</f>
        <v>0</v>
      </c>
      <c r="L38" s="669">
        <f t="shared" si="1"/>
        <v>0</v>
      </c>
      <c r="M38" s="669">
        <f>'[3]Staff Details 2022-2024'!T215</f>
        <v>0</v>
      </c>
      <c r="N38" s="670">
        <f>'[3]Staff Details 2022-2024'!V215</f>
        <v>0</v>
      </c>
      <c r="O38" s="670">
        <f>'[3]Staff Details 2022-2024'!Y215</f>
        <v>0</v>
      </c>
      <c r="P38" s="670">
        <f t="shared" si="2"/>
        <v>0</v>
      </c>
      <c r="Q38" s="670">
        <f>'[3]Staff Details 2022-2024'!AF215</f>
        <v>0</v>
      </c>
      <c r="R38" s="670">
        <f>'[3]Staff Details 2022-2024'!AH215</f>
        <v>0</v>
      </c>
      <c r="S38" s="670">
        <f>'[3]Staff Details 2022-2024'!AK215</f>
        <v>0</v>
      </c>
      <c r="T38" s="670">
        <f t="shared" si="3"/>
        <v>0</v>
      </c>
      <c r="U38" s="670">
        <f>'[3]Staff Details 2022-2024'!AR215</f>
        <v>0</v>
      </c>
      <c r="V38" s="671">
        <f t="shared" si="4"/>
        <v>0</v>
      </c>
      <c r="W38" s="671">
        <f t="shared" si="0"/>
        <v>0</v>
      </c>
      <c r="Y38" s="671"/>
    </row>
    <row r="39" spans="1:25">
      <c r="B39" s="666" t="s">
        <v>1104</v>
      </c>
      <c r="C39" s="668">
        <v>2</v>
      </c>
      <c r="D39" s="668">
        <v>2</v>
      </c>
      <c r="E39" s="668">
        <v>2</v>
      </c>
      <c r="F39" s="668">
        <v>194405.44800199999</v>
      </c>
      <c r="G39" s="668">
        <v>28959.84</v>
      </c>
      <c r="H39" s="668">
        <v>48292.32639858</v>
      </c>
      <c r="I39" s="668">
        <v>273221.23073301889</v>
      </c>
      <c r="J39" s="669">
        <f>'[3]Staff Details 2022-2024'!J216</f>
        <v>200237.61144206004</v>
      </c>
      <c r="K39" s="669">
        <f>'[3]Staff Details 2022-2024'!M216</f>
        <v>29702.400000000001</v>
      </c>
      <c r="L39" s="669">
        <f t="shared" si="1"/>
        <v>51861.924389475804</v>
      </c>
      <c r="M39" s="669">
        <f>'[3]Staff Details 2022-2024'!T216</f>
        <v>281801.93583153584</v>
      </c>
      <c r="N39" s="670">
        <f>'[3]Staff Details 2022-2024'!V216</f>
        <v>206244.73978532181</v>
      </c>
      <c r="O39" s="670">
        <f>'[3]Staff Details 2022-2024'!Y216</f>
        <v>31187.520000000004</v>
      </c>
      <c r="P39" s="670">
        <f t="shared" si="2"/>
        <v>53294.842443737391</v>
      </c>
      <c r="Q39" s="670">
        <f>'[3]Staff Details 2022-2024'!AF216</f>
        <v>290727.10222905921</v>
      </c>
      <c r="R39" s="670">
        <f>'[3]Staff Details 2022-2024'!AH216</f>
        <v>212432.0819788815</v>
      </c>
      <c r="S39" s="670">
        <f>'[3]Staff Details 2022-2024'!AK216</f>
        <v>32435.020800000006</v>
      </c>
      <c r="T39" s="670">
        <f t="shared" si="3"/>
        <v>55016.575899353476</v>
      </c>
      <c r="U39" s="670">
        <f>'[3]Staff Details 2022-2024'!AR216</f>
        <v>299883.67867823498</v>
      </c>
      <c r="V39" s="671">
        <f t="shared" si="4"/>
        <v>590610.78090729425</v>
      </c>
      <c r="W39" s="671">
        <f t="shared" si="0"/>
        <v>872412.71673883009</v>
      </c>
      <c r="Y39" s="671"/>
    </row>
    <row r="40" spans="1:25">
      <c r="A40" s="651" t="s">
        <v>1083</v>
      </c>
      <c r="B40" s="666" t="s">
        <v>1105</v>
      </c>
      <c r="C40" s="668">
        <v>9</v>
      </c>
      <c r="D40" s="668">
        <v>8</v>
      </c>
      <c r="E40" s="668">
        <v>9</v>
      </c>
      <c r="F40" s="668">
        <v>952523.51794249995</v>
      </c>
      <c r="G40" s="668">
        <v>192440.97600000002</v>
      </c>
      <c r="H40" s="668">
        <v>184196.99519369542</v>
      </c>
      <c r="I40" s="668">
        <v>1338626.4568656427</v>
      </c>
      <c r="J40" s="669">
        <f>'[3]Staff Details 2022-2024'!J217</f>
        <v>981099.22348077514</v>
      </c>
      <c r="K40" s="669">
        <f>'[3]Staff Details 2022-2024'!M217</f>
        <v>197375.36000000002</v>
      </c>
      <c r="L40" s="669">
        <f t="shared" si="1"/>
        <v>211246.47296679948</v>
      </c>
      <c r="M40" s="669">
        <f>'[3]Staff Details 2022-2024'!T217</f>
        <v>1389721.0564475746</v>
      </c>
      <c r="N40" s="670">
        <f>'[3]Staff Details 2022-2024'!V217</f>
        <v>1010532.2001851985</v>
      </c>
      <c r="O40" s="670">
        <f>'[3]Staff Details 2022-2024'!Y217</f>
        <v>207244.12800000003</v>
      </c>
      <c r="P40" s="670">
        <f t="shared" si="2"/>
        <v>214362.7262855795</v>
      </c>
      <c r="Q40" s="670">
        <f>'[3]Staff Details 2022-2024'!AF217</f>
        <v>1432139.054470778</v>
      </c>
      <c r="R40" s="670">
        <f>'[3]Staff Details 2022-2024'!AH217</f>
        <v>1040848.1661907544</v>
      </c>
      <c r="S40" s="670">
        <f>'[3]Staff Details 2022-2024'!AK217</f>
        <v>215533.89312000002</v>
      </c>
      <c r="T40" s="670">
        <f t="shared" si="3"/>
        <v>221136.29518445197</v>
      </c>
      <c r="U40" s="670">
        <f>'[3]Staff Details 2022-2024'!AR217</f>
        <v>1477518.3544952064</v>
      </c>
      <c r="V40" s="671">
        <f t="shared" si="4"/>
        <v>2909657.4089659844</v>
      </c>
      <c r="W40" s="671">
        <f t="shared" si="0"/>
        <v>4299378.4654135592</v>
      </c>
      <c r="Y40" s="671"/>
    </row>
    <row r="41" spans="1:25">
      <c r="A41" s="651" t="s">
        <v>1083</v>
      </c>
      <c r="B41" s="666" t="s">
        <v>1106</v>
      </c>
      <c r="C41" s="668">
        <v>2</v>
      </c>
      <c r="D41" s="668">
        <v>2</v>
      </c>
      <c r="E41" s="668">
        <v>2</v>
      </c>
      <c r="F41" s="668">
        <v>138659.757308</v>
      </c>
      <c r="G41" s="668">
        <v>81087.552000000011</v>
      </c>
      <c r="H41" s="668">
        <v>38258.708010235998</v>
      </c>
      <c r="I41" s="668">
        <v>259232.15997409716</v>
      </c>
      <c r="J41" s="669">
        <f>'[3]Staff Details 2022-2024'!J218</f>
        <v>156509.06650000002</v>
      </c>
      <c r="K41" s="669">
        <f>'[3]Staff Details 2022-2024'!M218</f>
        <v>56434.559999999998</v>
      </c>
      <c r="L41" s="669">
        <f t="shared" si="1"/>
        <v>44633.328452095011</v>
      </c>
      <c r="M41" s="669">
        <f>'[3]Staff Details 2022-2024'!T218</f>
        <v>257576.95495209502</v>
      </c>
      <c r="N41" s="670">
        <f>'[3]Staff Details 2022-2024'!V218</f>
        <v>161204.338495</v>
      </c>
      <c r="O41" s="670">
        <f>'[3]Staff Details 2022-2024'!Y218</f>
        <v>59256.288000000008</v>
      </c>
      <c r="P41" s="670">
        <f t="shared" si="2"/>
        <v>45635.815975747442</v>
      </c>
      <c r="Q41" s="670">
        <f>'[3]Staff Details 2022-2024'!AF218</f>
        <v>266096.44247074745</v>
      </c>
      <c r="R41" s="670">
        <f>'[3]Staff Details 2022-2024'!AH218</f>
        <v>166040.46864985002</v>
      </c>
      <c r="S41" s="670">
        <f>'[3]Staff Details 2022-2024'!AK218</f>
        <v>61626.539520000006</v>
      </c>
      <c r="T41" s="670">
        <f t="shared" si="3"/>
        <v>47104.08121119377</v>
      </c>
      <c r="U41" s="670">
        <f>'[3]Staff Details 2022-2024'!AR218</f>
        <v>274771.0893810438</v>
      </c>
      <c r="V41" s="671">
        <f t="shared" si="4"/>
        <v>540867.53185179131</v>
      </c>
      <c r="W41" s="674">
        <f t="shared" si="0"/>
        <v>798444.48680388625</v>
      </c>
      <c r="Y41" s="671"/>
    </row>
    <row r="42" spans="1:25">
      <c r="B42" s="666" t="s">
        <v>1081</v>
      </c>
      <c r="C42" s="675">
        <f>SUM(C9:C41)</f>
        <v>160</v>
      </c>
      <c r="D42" s="675">
        <f>SUM(D9:D41)</f>
        <v>151.5</v>
      </c>
      <c r="E42" s="675">
        <f>SUM(E9:E41)</f>
        <v>151.5</v>
      </c>
      <c r="F42" s="675">
        <f>SUM(F9:F41)</f>
        <v>14914814.518223714</v>
      </c>
      <c r="G42" s="675">
        <f t="shared" ref="G42:L42" si="5">SUM(G9:G41)</f>
        <v>3909008.9997940548</v>
      </c>
      <c r="H42" s="675">
        <f t="shared" si="5"/>
        <v>3654034.407648284</v>
      </c>
      <c r="I42" s="675">
        <f t="shared" si="5"/>
        <v>22298430.655529343</v>
      </c>
      <c r="J42" s="676">
        <f t="shared" si="5"/>
        <v>16125591.4276908</v>
      </c>
      <c r="K42" s="676">
        <f t="shared" si="5"/>
        <v>4093160.1760242172</v>
      </c>
      <c r="L42" s="676">
        <f t="shared" si="5"/>
        <v>3832191.3881442924</v>
      </c>
      <c r="M42" s="676">
        <f>SUM(M9:M41)</f>
        <v>24050942.991859306</v>
      </c>
      <c r="N42" s="677">
        <f t="shared" ref="N42:T42" si="6">SUM(N9:N41)</f>
        <v>16785683.341354854</v>
      </c>
      <c r="O42" s="677">
        <f>SUM(O9:O41)</f>
        <v>4287099.743545427</v>
      </c>
      <c r="P42" s="677">
        <f>SUM(P9:P41)</f>
        <v>3958562.5879253107</v>
      </c>
      <c r="Q42" s="677">
        <f t="shared" si="6"/>
        <v>25031345.672825594</v>
      </c>
      <c r="R42" s="677">
        <f t="shared" si="6"/>
        <v>17289253.841595504</v>
      </c>
      <c r="S42" s="677">
        <f t="shared" si="6"/>
        <v>4458583.733287245</v>
      </c>
      <c r="T42" s="677">
        <f t="shared" si="6"/>
        <v>4090538.9045230369</v>
      </c>
      <c r="U42" s="677">
        <f>SUM(U9:U41)</f>
        <v>25838376.479405779</v>
      </c>
      <c r="V42" s="678">
        <f>SUM(V9:V41)</f>
        <v>50869722.152231373</v>
      </c>
      <c r="W42" s="679">
        <f>SUM(W9:W41)</f>
        <v>74920665.144090712</v>
      </c>
      <c r="X42" s="680"/>
      <c r="Y42" s="679"/>
    </row>
    <row r="43" spans="1:25">
      <c r="B43" s="666"/>
      <c r="C43" s="681"/>
      <c r="D43" s="681"/>
      <c r="E43" s="682"/>
      <c r="F43" s="681"/>
      <c r="G43" s="681"/>
      <c r="H43" s="681"/>
      <c r="I43" s="681"/>
      <c r="J43" s="681"/>
      <c r="K43" s="681"/>
      <c r="L43" s="681"/>
      <c r="M43" s="681"/>
      <c r="N43" s="679"/>
      <c r="O43" s="679"/>
      <c r="P43" s="679"/>
      <c r="Q43" s="679"/>
      <c r="R43" s="679"/>
      <c r="S43" s="679"/>
      <c r="T43" s="679"/>
      <c r="U43" s="679"/>
      <c r="V43" s="679"/>
      <c r="W43" s="679"/>
      <c r="X43" s="680"/>
      <c r="Y43" s="679"/>
    </row>
    <row r="44" spans="1:25">
      <c r="B44" s="666" t="s">
        <v>1107</v>
      </c>
      <c r="C44" s="681"/>
      <c r="D44" s="681"/>
      <c r="E44" s="682"/>
      <c r="F44" s="681"/>
      <c r="G44" s="681"/>
      <c r="H44" s="681"/>
      <c r="I44" s="681"/>
      <c r="J44" s="681"/>
      <c r="K44" s="681"/>
      <c r="L44" s="681"/>
      <c r="M44" s="681"/>
      <c r="N44" s="679"/>
      <c r="O44" s="679"/>
      <c r="P44" s="679"/>
      <c r="Q44" s="679"/>
      <c r="R44" s="679"/>
      <c r="S44" s="679"/>
      <c r="T44" s="679"/>
      <c r="U44" s="679"/>
      <c r="V44" s="679"/>
      <c r="W44" s="679"/>
      <c r="X44" s="680"/>
      <c r="Y44" s="679"/>
    </row>
    <row r="45" spans="1:25">
      <c r="B45" s="666"/>
      <c r="C45" s="681"/>
      <c r="D45" s="681"/>
      <c r="E45" s="682"/>
      <c r="F45" s="681"/>
      <c r="G45" s="681"/>
      <c r="H45" s="681"/>
      <c r="I45" s="681"/>
      <c r="J45" s="679"/>
      <c r="K45" s="679"/>
      <c r="L45" s="679"/>
      <c r="M45" s="679"/>
      <c r="N45" s="679"/>
      <c r="O45" s="679"/>
      <c r="P45" s="679"/>
      <c r="Q45" s="679"/>
      <c r="R45" s="679"/>
      <c r="S45" s="679"/>
      <c r="T45" s="679"/>
      <c r="U45" s="679"/>
      <c r="V45" s="679"/>
      <c r="W45" s="679"/>
      <c r="X45" s="680"/>
      <c r="Y45" s="679"/>
    </row>
    <row r="46" spans="1:25" ht="54">
      <c r="B46" s="666"/>
      <c r="C46" s="681"/>
      <c r="D46" s="681"/>
      <c r="E46" s="682"/>
      <c r="F46" s="683" t="s">
        <v>1108</v>
      </c>
      <c r="G46" s="683"/>
      <c r="H46" s="683" t="s">
        <v>1109</v>
      </c>
      <c r="I46" s="683" t="s">
        <v>1110</v>
      </c>
      <c r="J46" s="679"/>
      <c r="K46" s="679"/>
      <c r="L46" s="679"/>
      <c r="M46" s="679"/>
      <c r="N46" s="679"/>
      <c r="O46" s="679"/>
      <c r="P46" s="679"/>
      <c r="Q46" s="679"/>
      <c r="R46" s="679"/>
      <c r="S46" s="679"/>
      <c r="T46" s="679"/>
      <c r="U46" s="679"/>
      <c r="V46" s="679"/>
      <c r="W46" s="679"/>
      <c r="X46" s="680"/>
      <c r="Y46" s="679"/>
    </row>
    <row r="47" spans="1:25">
      <c r="B47" s="666"/>
      <c r="C47" s="681"/>
      <c r="D47" s="681"/>
      <c r="E47" s="682"/>
      <c r="F47" s="681"/>
      <c r="G47" s="681"/>
      <c r="H47" s="681"/>
      <c r="I47" s="681"/>
      <c r="J47" s="684">
        <f>J42/F42-1</f>
        <v>8.1179481514013663E-2</v>
      </c>
      <c r="K47" s="685"/>
      <c r="L47" s="679"/>
      <c r="M47" s="679"/>
      <c r="N47" s="679"/>
      <c r="O47" s="684">
        <f>O42/K42</f>
        <v>1.0473813775129581</v>
      </c>
      <c r="P47" s="679"/>
      <c r="Q47" s="679"/>
      <c r="R47" s="679"/>
      <c r="S47" s="684"/>
      <c r="T47" s="679"/>
      <c r="U47" s="679"/>
      <c r="V47" s="679"/>
      <c r="W47" s="679"/>
      <c r="X47" s="680"/>
      <c r="Y47" s="679"/>
    </row>
    <row r="48" spans="1:25">
      <c r="B48" s="666"/>
      <c r="C48" s="681"/>
      <c r="D48" s="681"/>
      <c r="E48" s="682"/>
      <c r="F48" s="681"/>
      <c r="G48" s="686">
        <f>G42/$F42</f>
        <v>0.26208901190275075</v>
      </c>
      <c r="H48" s="686">
        <f>H42/$F42</f>
        <v>0.24499362048274823</v>
      </c>
      <c r="I48" s="686">
        <f>I42/$F42</f>
        <v>1.4950524948388686</v>
      </c>
      <c r="J48" s="679"/>
      <c r="K48" s="679"/>
      <c r="L48" s="679"/>
      <c r="M48" s="679"/>
      <c r="N48" s="679"/>
      <c r="O48" s="679"/>
      <c r="P48" s="679"/>
      <c r="Q48" s="679"/>
      <c r="R48" s="679"/>
      <c r="S48" s="679"/>
      <c r="T48" s="679"/>
      <c r="U48" s="679"/>
      <c r="V48" s="679"/>
      <c r="W48" s="679"/>
      <c r="X48" s="680"/>
      <c r="Y48" s="679"/>
    </row>
    <row r="49" spans="2:37">
      <c r="B49" s="666"/>
      <c r="C49" s="681"/>
      <c r="D49" s="681"/>
      <c r="E49" s="682"/>
      <c r="F49" s="681"/>
      <c r="G49" s="681"/>
      <c r="H49" s="681"/>
      <c r="I49" s="681"/>
      <c r="J49" s="679"/>
      <c r="K49" s="679"/>
      <c r="L49" s="679"/>
      <c r="M49" s="679"/>
      <c r="N49" s="679"/>
      <c r="O49" s="679"/>
      <c r="P49" s="679"/>
      <c r="Q49" s="679"/>
      <c r="R49" s="679"/>
      <c r="S49" s="679"/>
      <c r="T49" s="679"/>
      <c r="U49" s="679"/>
      <c r="V49" s="679"/>
      <c r="W49" s="679"/>
      <c r="X49" s="680"/>
      <c r="Y49" s="679"/>
    </row>
    <row r="50" spans="2:37">
      <c r="B50" s="666"/>
      <c r="C50" s="681"/>
      <c r="D50" s="681"/>
      <c r="E50" s="682"/>
      <c r="F50" s="681"/>
      <c r="G50" s="681"/>
      <c r="H50" s="681"/>
      <c r="I50" s="681"/>
      <c r="J50" s="679"/>
      <c r="K50" s="679"/>
      <c r="L50" s="679"/>
      <c r="M50" s="679"/>
      <c r="N50" s="679"/>
      <c r="O50" s="679"/>
      <c r="P50" s="679"/>
      <c r="Q50" s="679"/>
      <c r="R50" s="679"/>
      <c r="S50" s="679"/>
      <c r="T50" s="679"/>
      <c r="U50" s="679"/>
      <c r="V50" s="679"/>
      <c r="W50" s="679"/>
      <c r="X50" s="680"/>
      <c r="Y50" s="679"/>
    </row>
    <row r="51" spans="2:37">
      <c r="B51" s="666"/>
      <c r="C51" s="681"/>
      <c r="D51" s="681"/>
      <c r="E51" s="682"/>
      <c r="F51" s="681">
        <f>F42/E42</f>
        <v>98447.620582334741</v>
      </c>
      <c r="G51" s="681"/>
      <c r="H51" s="681"/>
      <c r="I51" s="681"/>
      <c r="J51" s="679"/>
      <c r="K51" s="679"/>
      <c r="L51" s="679"/>
      <c r="M51" s="679"/>
      <c r="N51" s="679"/>
      <c r="O51" s="679"/>
      <c r="P51" s="679"/>
      <c r="Q51" s="679"/>
      <c r="R51" s="679"/>
      <c r="S51" s="679"/>
      <c r="T51" s="679"/>
      <c r="U51" s="679"/>
      <c r="V51" s="679"/>
      <c r="W51" s="679"/>
      <c r="X51" s="680"/>
      <c r="Y51" s="679"/>
    </row>
    <row r="52" spans="2:37">
      <c r="B52" s="666"/>
      <c r="C52" s="667"/>
      <c r="D52" s="687"/>
      <c r="E52" s="688"/>
      <c r="F52" s="687"/>
      <c r="G52" s="687"/>
      <c r="H52" s="687"/>
      <c r="I52" s="687"/>
      <c r="J52" s="679"/>
      <c r="K52" s="679"/>
      <c r="L52" s="679"/>
      <c r="M52" s="679"/>
      <c r="N52" s="679"/>
      <c r="O52" s="679"/>
      <c r="P52" s="679"/>
      <c r="Q52" s="679"/>
      <c r="R52" s="679"/>
      <c r="S52" s="679"/>
      <c r="T52" s="679"/>
      <c r="U52" s="679"/>
      <c r="V52" s="679"/>
      <c r="W52" s="679"/>
      <c r="X52" s="680"/>
      <c r="Y52" s="679"/>
      <c r="Z52" s="689"/>
      <c r="AA52" s="689"/>
      <c r="AB52" s="689"/>
      <c r="AC52" s="689"/>
      <c r="AD52" s="689"/>
      <c r="AE52" s="689"/>
      <c r="AF52" s="689"/>
      <c r="AG52" s="689"/>
      <c r="AH52" s="689"/>
      <c r="AI52" s="689"/>
      <c r="AJ52" s="689"/>
      <c r="AK52" s="689"/>
    </row>
    <row r="53" spans="2:37">
      <c r="B53" s="666"/>
      <c r="C53" s="681"/>
      <c r="D53" s="659"/>
      <c r="E53" s="690"/>
      <c r="F53" s="659"/>
      <c r="G53" s="659"/>
      <c r="H53" s="659"/>
      <c r="I53" s="659"/>
      <c r="J53" s="679"/>
      <c r="K53" s="679"/>
      <c r="L53" s="679"/>
      <c r="M53" s="679"/>
      <c r="N53" s="679"/>
      <c r="O53" s="679"/>
      <c r="P53" s="679"/>
      <c r="Q53" s="679"/>
      <c r="R53" s="679"/>
      <c r="S53" s="679"/>
      <c r="T53" s="679"/>
      <c r="U53" s="679"/>
      <c r="V53" s="679"/>
      <c r="W53" s="679"/>
      <c r="X53" s="680"/>
      <c r="Y53" s="679"/>
      <c r="Z53" s="689"/>
      <c r="AA53" s="689"/>
      <c r="AB53" s="689"/>
      <c r="AC53" s="689"/>
      <c r="AD53" s="689"/>
      <c r="AE53" s="689"/>
      <c r="AF53" s="689"/>
      <c r="AG53" s="689"/>
      <c r="AH53" s="689"/>
      <c r="AI53" s="689"/>
      <c r="AJ53" s="689"/>
      <c r="AK53" s="689"/>
    </row>
    <row r="54" spans="2:37">
      <c r="B54" s="691"/>
      <c r="C54" s="692"/>
      <c r="D54" s="659"/>
      <c r="E54" s="690"/>
      <c r="F54" s="659"/>
      <c r="G54" s="659"/>
      <c r="H54" s="659"/>
      <c r="I54" s="659"/>
      <c r="J54" s="693"/>
      <c r="K54" s="693"/>
      <c r="L54" s="693"/>
      <c r="M54" s="694"/>
      <c r="N54" s="693"/>
      <c r="O54" s="693"/>
      <c r="P54" s="694"/>
      <c r="Q54" s="694"/>
      <c r="R54" s="693"/>
      <c r="S54" s="693"/>
      <c r="T54" s="694"/>
      <c r="U54" s="694"/>
      <c r="V54" s="694"/>
      <c r="W54" s="695"/>
      <c r="Y54" s="664"/>
      <c r="Z54" s="696"/>
      <c r="AA54" s="696"/>
      <c r="AB54" s="696"/>
      <c r="AC54" s="696"/>
      <c r="AD54" s="697"/>
      <c r="AE54" s="697"/>
      <c r="AF54" s="697"/>
      <c r="AG54" s="697"/>
      <c r="AH54" s="697"/>
      <c r="AI54" s="697"/>
      <c r="AJ54" s="697"/>
      <c r="AK54" s="697"/>
    </row>
    <row r="55" spans="2:37">
      <c r="B55" s="691"/>
      <c r="C55" s="692"/>
    </row>
    <row r="56" spans="2:37">
      <c r="J56" s="695"/>
      <c r="K56" s="694"/>
      <c r="M56" s="695"/>
      <c r="N56" s="695"/>
      <c r="O56" s="695"/>
      <c r="P56" s="695"/>
      <c r="Q56" s="695"/>
      <c r="R56" s="695"/>
      <c r="S56" s="695"/>
      <c r="T56" s="695"/>
      <c r="U56" s="695"/>
      <c r="V56" s="695"/>
      <c r="W56" s="695"/>
      <c r="Y56" s="664"/>
      <c r="Z56" s="696"/>
      <c r="AA56" s="696"/>
      <c r="AB56" s="696"/>
      <c r="AC56" s="696"/>
      <c r="AD56" s="697"/>
      <c r="AE56" s="697"/>
      <c r="AF56" s="697"/>
      <c r="AG56" s="697"/>
      <c r="AH56" s="697"/>
      <c r="AI56" s="697"/>
      <c r="AJ56" s="697"/>
      <c r="AK56" s="697"/>
    </row>
    <row r="57" spans="2:37">
      <c r="J57" s="695"/>
      <c r="K57" s="694"/>
      <c r="M57" s="695"/>
      <c r="N57" s="695"/>
      <c r="O57" s="695"/>
      <c r="P57" s="695"/>
      <c r="Q57" s="695"/>
      <c r="R57" s="695"/>
      <c r="S57" s="695"/>
      <c r="T57" s="695"/>
      <c r="U57" s="695"/>
      <c r="V57" s="695"/>
      <c r="W57" s="695"/>
      <c r="Y57" s="664"/>
      <c r="Z57" s="696"/>
      <c r="AA57" s="696"/>
      <c r="AB57" s="696"/>
      <c r="AC57" s="696"/>
      <c r="AD57" s="697"/>
      <c r="AE57" s="697"/>
      <c r="AF57" s="697"/>
      <c r="AG57" s="697"/>
      <c r="AH57" s="697"/>
      <c r="AI57" s="697"/>
      <c r="AJ57" s="697"/>
      <c r="AK57" s="697"/>
    </row>
    <row r="58" spans="2:37">
      <c r="J58" s="679"/>
      <c r="K58" s="679"/>
      <c r="M58" s="695"/>
      <c r="N58" s="695"/>
      <c r="O58" s="695"/>
      <c r="P58" s="695"/>
      <c r="Q58" s="695"/>
      <c r="R58" s="695"/>
      <c r="S58" s="695"/>
      <c r="T58" s="695"/>
      <c r="U58" s="695"/>
      <c r="V58" s="695"/>
      <c r="W58" s="695"/>
      <c r="Y58" s="664"/>
      <c r="Z58" s="696"/>
      <c r="AA58" s="696"/>
      <c r="AB58" s="696"/>
      <c r="AC58" s="696"/>
      <c r="AD58" s="697"/>
      <c r="AE58" s="697"/>
      <c r="AF58" s="697"/>
      <c r="AG58" s="697"/>
      <c r="AH58" s="697"/>
      <c r="AI58" s="697"/>
      <c r="AJ58" s="697"/>
      <c r="AK58" s="697"/>
    </row>
    <row r="63" spans="2:37">
      <c r="J63" s="694"/>
      <c r="K63" s="694"/>
      <c r="N63" s="694"/>
      <c r="O63" s="694"/>
    </row>
    <row r="64" spans="2:37">
      <c r="J64" s="698"/>
      <c r="K64" s="698"/>
    </row>
    <row r="65" spans="10:10">
      <c r="J65" s="694"/>
    </row>
    <row r="66" spans="10:10">
      <c r="J66" s="698"/>
    </row>
  </sheetData>
  <mergeCells count="19">
    <mergeCell ref="AK5:AK7"/>
    <mergeCell ref="Z5:Z7"/>
    <mergeCell ref="AA5:AA7"/>
    <mergeCell ref="AB5:AB7"/>
    <mergeCell ref="AC5:AC7"/>
    <mergeCell ref="AD5:AD7"/>
    <mergeCell ref="AE5:AE7"/>
    <mergeCell ref="AF5:AF7"/>
    <mergeCell ref="AG5:AG7"/>
    <mergeCell ref="AH5:AH7"/>
    <mergeCell ref="AI5:AI7"/>
    <mergeCell ref="AJ5:AJ7"/>
    <mergeCell ref="Y5:Y7"/>
    <mergeCell ref="F6:U6"/>
    <mergeCell ref="F5:I5"/>
    <mergeCell ref="J5:M5"/>
    <mergeCell ref="N5:Q5"/>
    <mergeCell ref="R5:U5"/>
    <mergeCell ref="X5:X7"/>
  </mergeCells>
  <printOptions horizontalCentered="1" headings="1" gridLines="1"/>
  <pageMargins left="0.25" right="0.25" top="0.75" bottom="0.25" header="0.25" footer="0.25"/>
  <pageSetup scale="72"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6DDC6-AEC6-44BB-8C71-6B2B8C0225D3}">
  <sheetPr>
    <tabColor rgb="FF00B050"/>
    <pageSetUpPr fitToPage="1"/>
  </sheetPr>
  <dimension ref="A1:Z78"/>
  <sheetViews>
    <sheetView view="pageBreakPreview" zoomScale="60" zoomScaleNormal="100" workbookViewId="0">
      <pane xSplit="10" ySplit="6" topLeftCell="K7" activePane="bottomRight" state="frozen"/>
      <selection activeCell="B23" sqref="B23"/>
      <selection pane="topRight" activeCell="B23" sqref="B23"/>
      <selection pane="bottomLeft" activeCell="B23" sqref="B23"/>
      <selection pane="bottomRight" activeCell="B23" sqref="B23"/>
    </sheetView>
  </sheetViews>
  <sheetFormatPr defaultColWidth="10.625" defaultRowHeight="15.75"/>
  <cols>
    <col min="1" max="1" width="10.625" style="161"/>
    <col min="2" max="2" width="40.5" style="11" customWidth="1"/>
    <col min="3" max="3" width="15.375" style="69" hidden="1" customWidth="1"/>
    <col min="4" max="4" width="13" style="69" hidden="1" customWidth="1"/>
    <col min="5" max="5" width="14.25" style="69" hidden="1" customWidth="1"/>
    <col min="6" max="6" width="14.75" style="69" hidden="1" customWidth="1"/>
    <col min="7" max="7" width="10.375" style="69" hidden="1" customWidth="1"/>
    <col min="8" max="8" width="10.125" style="211" hidden="1" customWidth="1"/>
    <col min="9" max="9" width="13.75" style="69" hidden="1" customWidth="1"/>
    <col min="10" max="10" width="11.75" style="69" customWidth="1"/>
    <col min="11" max="11" width="13.5" style="69" customWidth="1"/>
    <col min="12" max="12" width="12.25" style="69" hidden="1" customWidth="1"/>
    <col min="13" max="13" width="5.5" style="212" customWidth="1"/>
    <col min="14" max="14" width="10.5" style="69" customWidth="1"/>
    <col min="15" max="15" width="10.625" style="69" customWidth="1"/>
    <col min="16" max="16" width="11.625" style="69" customWidth="1"/>
    <col min="17" max="17" width="51.125" style="69" customWidth="1"/>
    <col min="18" max="18" width="11.625" style="69" customWidth="1"/>
    <col min="19" max="19" width="6.125" style="212" hidden="1" customWidth="1"/>
    <col min="20" max="20" width="20.875" style="9" hidden="1" customWidth="1"/>
    <col min="21" max="21" width="18" style="9" hidden="1" customWidth="1"/>
    <col min="22" max="22" width="20.375" style="9" hidden="1" customWidth="1"/>
    <col min="23" max="23" width="14.5" style="9" hidden="1" customWidth="1"/>
    <col min="24" max="24" width="19.875" style="9" hidden="1" customWidth="1"/>
    <col min="25" max="25" width="51.625" style="11" hidden="1" customWidth="1"/>
    <col min="26" max="16384" width="10.625" style="9"/>
  </cols>
  <sheetData>
    <row r="1" spans="1:26" s="141" customFormat="1">
      <c r="A1" s="1" t="s">
        <v>0</v>
      </c>
      <c r="B1" s="135"/>
      <c r="C1" s="136"/>
      <c r="D1" s="136"/>
      <c r="E1" s="136"/>
      <c r="F1" s="136"/>
      <c r="G1" s="137"/>
      <c r="H1" s="138"/>
      <c r="I1" s="136"/>
      <c r="J1" s="136"/>
      <c r="K1" s="136"/>
      <c r="L1" s="136"/>
      <c r="M1" s="139"/>
      <c r="N1" s="140"/>
      <c r="O1" s="140"/>
      <c r="Q1" s="142" t="s">
        <v>1</v>
      </c>
      <c r="S1" s="143"/>
      <c r="Y1" s="142" t="s">
        <v>1</v>
      </c>
    </row>
    <row r="2" spans="1:26" s="141" customFormat="1">
      <c r="A2" s="10" t="s">
        <v>1123</v>
      </c>
      <c r="B2" s="144"/>
      <c r="C2" s="144"/>
      <c r="D2" s="144"/>
      <c r="E2" s="144"/>
      <c r="F2" s="144"/>
      <c r="G2" s="137"/>
      <c r="H2" s="138"/>
      <c r="I2" s="144"/>
      <c r="J2" s="144"/>
      <c r="K2" s="144"/>
      <c r="L2" s="144"/>
      <c r="M2" s="140"/>
      <c r="N2" s="140"/>
      <c r="O2" s="140"/>
      <c r="Q2" s="145" t="s">
        <v>2</v>
      </c>
      <c r="S2" s="143"/>
      <c r="Y2" s="705"/>
    </row>
    <row r="3" spans="1:26" s="141" customFormat="1">
      <c r="A3" s="10" t="s">
        <v>134</v>
      </c>
      <c r="B3" s="146"/>
      <c r="C3" s="146"/>
      <c r="D3" s="146"/>
      <c r="E3" s="146"/>
      <c r="F3" s="146"/>
      <c r="G3" s="146"/>
      <c r="H3" s="147"/>
      <c r="I3" s="146"/>
      <c r="J3" s="146"/>
      <c r="K3" s="146"/>
      <c r="L3" s="146"/>
      <c r="M3" s="148"/>
      <c r="N3" s="146"/>
      <c r="O3" s="146"/>
      <c r="P3" s="146"/>
      <c r="Q3" s="707"/>
      <c r="R3" s="146"/>
      <c r="S3" s="148"/>
      <c r="Y3" s="707"/>
      <c r="Z3" s="149" t="s">
        <v>4</v>
      </c>
    </row>
    <row r="4" spans="1:26" s="154" customFormat="1" ht="16.149999999999999" thickBot="1">
      <c r="A4" s="10"/>
      <c r="B4" s="150"/>
      <c r="C4" s="151"/>
      <c r="D4" s="151"/>
      <c r="E4" s="151"/>
      <c r="F4" s="151"/>
      <c r="G4" s="151"/>
      <c r="H4" s="152"/>
      <c r="I4" s="151"/>
      <c r="J4" s="151"/>
      <c r="K4" s="151"/>
      <c r="L4" s="151"/>
      <c r="M4" s="153"/>
      <c r="N4" s="151"/>
      <c r="O4" s="151"/>
      <c r="P4" s="151"/>
      <c r="Q4" s="151"/>
      <c r="R4" s="151"/>
      <c r="S4" s="153"/>
      <c r="Y4" s="150"/>
    </row>
    <row r="5" spans="1:26" s="160" customFormat="1" ht="65.45" customHeight="1" thickBot="1">
      <c r="A5" s="19" t="s">
        <v>5</v>
      </c>
      <c r="B5" s="20" t="s">
        <v>6</v>
      </c>
      <c r="C5" s="21" t="s">
        <v>7</v>
      </c>
      <c r="D5" s="22" t="s">
        <v>8</v>
      </c>
      <c r="E5" s="23" t="s">
        <v>9</v>
      </c>
      <c r="F5" s="23" t="s">
        <v>10</v>
      </c>
      <c r="G5" s="155" t="s">
        <v>11</v>
      </c>
      <c r="H5" s="23" t="s">
        <v>12</v>
      </c>
      <c r="I5" s="25" t="s">
        <v>135</v>
      </c>
      <c r="J5" s="25" t="s">
        <v>136</v>
      </c>
      <c r="K5" s="25" t="s">
        <v>15</v>
      </c>
      <c r="L5" s="25" t="s">
        <v>16</v>
      </c>
      <c r="M5" s="26"/>
      <c r="N5" s="156" t="s">
        <v>17</v>
      </c>
      <c r="O5" s="156" t="s">
        <v>18</v>
      </c>
      <c r="P5" s="156" t="s">
        <v>19</v>
      </c>
      <c r="Q5" s="156" t="s">
        <v>137</v>
      </c>
      <c r="R5" s="156" t="s">
        <v>19</v>
      </c>
      <c r="S5" s="157"/>
      <c r="T5" s="158" t="s">
        <v>138</v>
      </c>
      <c r="U5" s="158" t="s">
        <v>139</v>
      </c>
      <c r="V5" s="158" t="s">
        <v>23</v>
      </c>
      <c r="W5" s="158" t="s">
        <v>24</v>
      </c>
      <c r="X5" s="158" t="s">
        <v>25</v>
      </c>
      <c r="Y5" s="159" t="s">
        <v>26</v>
      </c>
    </row>
    <row r="6" spans="1:26">
      <c r="C6" s="162"/>
      <c r="D6" s="162"/>
      <c r="E6" s="162"/>
      <c r="F6" s="162"/>
      <c r="G6" s="162"/>
      <c r="H6" s="163"/>
      <c r="I6" s="162"/>
      <c r="J6" s="162"/>
      <c r="K6" s="162"/>
      <c r="L6" s="162"/>
      <c r="M6" s="164"/>
      <c r="N6" s="165"/>
      <c r="O6" s="165"/>
      <c r="P6" s="165"/>
      <c r="Q6" s="165"/>
      <c r="R6" s="165"/>
      <c r="S6" s="164"/>
      <c r="T6" s="166"/>
      <c r="U6" s="166"/>
      <c r="V6" s="166"/>
      <c r="W6" s="166"/>
      <c r="X6" s="166"/>
      <c r="Y6" s="167"/>
    </row>
    <row r="7" spans="1:26">
      <c r="A7" s="161">
        <v>35</v>
      </c>
      <c r="B7" s="168" t="s">
        <v>140</v>
      </c>
      <c r="C7" s="162">
        <v>3000000</v>
      </c>
      <c r="D7" s="162">
        <v>0</v>
      </c>
      <c r="E7" s="162"/>
      <c r="F7" s="162"/>
      <c r="G7" s="162"/>
      <c r="H7" s="163"/>
      <c r="I7" s="162"/>
      <c r="J7" s="162"/>
      <c r="K7" s="162"/>
      <c r="L7" s="162"/>
      <c r="M7" s="164"/>
      <c r="N7" s="165"/>
      <c r="O7" s="165"/>
      <c r="P7" s="165"/>
      <c r="Q7" s="165"/>
      <c r="R7" s="165"/>
      <c r="S7" s="164"/>
      <c r="T7" s="166"/>
      <c r="U7" s="166"/>
      <c r="V7" s="166"/>
      <c r="W7" s="166"/>
      <c r="X7" s="166"/>
      <c r="Y7" s="167"/>
    </row>
    <row r="8" spans="1:26" ht="34.5" customHeight="1">
      <c r="A8" s="161">
        <f>A7+1</f>
        <v>36</v>
      </c>
      <c r="B8" s="169" t="s">
        <v>141</v>
      </c>
      <c r="C8" s="162"/>
      <c r="D8" s="162">
        <v>2500000</v>
      </c>
      <c r="E8" s="162">
        <v>964003</v>
      </c>
      <c r="F8" s="162">
        <v>833333</v>
      </c>
      <c r="G8" s="163">
        <f>F8</f>
        <v>833333</v>
      </c>
      <c r="H8" s="163" t="s">
        <v>142</v>
      </c>
      <c r="I8" s="162"/>
      <c r="J8" s="162">
        <f>833334-130670</f>
        <v>702664</v>
      </c>
      <c r="K8" s="162">
        <f>J8</f>
        <v>702664</v>
      </c>
      <c r="L8" s="162">
        <f>E8+G8+K8</f>
        <v>2500000</v>
      </c>
      <c r="M8" s="164"/>
      <c r="N8" s="165">
        <v>0</v>
      </c>
      <c r="O8" s="165">
        <v>666000</v>
      </c>
      <c r="P8" s="165">
        <f>N8+O8</f>
        <v>666000</v>
      </c>
      <c r="Q8" s="170"/>
      <c r="R8" s="165">
        <f>P8</f>
        <v>666000</v>
      </c>
      <c r="S8" s="164"/>
      <c r="T8" s="166">
        <v>666000</v>
      </c>
      <c r="U8" s="166">
        <v>5000</v>
      </c>
      <c r="V8" s="166">
        <v>666000</v>
      </c>
      <c r="W8" s="53">
        <f>U8+V8</f>
        <v>671000</v>
      </c>
      <c r="X8" s="53">
        <f>T8+W8</f>
        <v>1337000</v>
      </c>
      <c r="Y8" s="167" t="s">
        <v>143</v>
      </c>
    </row>
    <row r="9" spans="1:26" ht="53.25" customHeight="1">
      <c r="A9" s="161">
        <f t="shared" ref="A9:A40" si="0">A8+1</f>
        <v>37</v>
      </c>
      <c r="B9" s="169" t="s">
        <v>144</v>
      </c>
      <c r="C9" s="162"/>
      <c r="D9" s="162">
        <v>500000</v>
      </c>
      <c r="E9" s="162">
        <v>130392</v>
      </c>
      <c r="F9" s="162">
        <v>166667</v>
      </c>
      <c r="G9" s="163">
        <f>F9</f>
        <v>166667</v>
      </c>
      <c r="H9" s="163" t="s">
        <v>145</v>
      </c>
      <c r="I9" s="162"/>
      <c r="J9" s="162">
        <f>166666+36275</f>
        <v>202941</v>
      </c>
      <c r="K9" s="162">
        <f>J9</f>
        <v>202941</v>
      </c>
      <c r="L9" s="162">
        <f>E9+G9+K9</f>
        <v>500000</v>
      </c>
      <c r="M9" s="164"/>
      <c r="N9" s="165">
        <v>0</v>
      </c>
      <c r="O9" s="165">
        <v>334000</v>
      </c>
      <c r="P9" s="165">
        <f>N9+O9</f>
        <v>334000</v>
      </c>
      <c r="Q9" s="170"/>
      <c r="R9" s="165">
        <f>P9</f>
        <v>334000</v>
      </c>
      <c r="S9" s="164"/>
      <c r="T9" s="166">
        <v>333000</v>
      </c>
      <c r="U9" s="166">
        <v>5000</v>
      </c>
      <c r="V9" s="166">
        <v>333000</v>
      </c>
      <c r="W9" s="53">
        <f>U9+V9</f>
        <v>338000</v>
      </c>
      <c r="X9" s="53">
        <f t="shared" ref="X9" si="1">T9+W9</f>
        <v>671000</v>
      </c>
      <c r="Y9" s="171" t="s">
        <v>146</v>
      </c>
    </row>
    <row r="10" spans="1:26" s="180" customFormat="1" ht="22.5" customHeight="1">
      <c r="A10" s="172">
        <f>A9+1</f>
        <v>38</v>
      </c>
      <c r="B10" s="173" t="s">
        <v>140</v>
      </c>
      <c r="C10" s="174">
        <f>SUM(C7)</f>
        <v>3000000</v>
      </c>
      <c r="D10" s="174">
        <f t="shared" ref="D10:H10" si="2">SUM(D7:D9)</f>
        <v>3000000</v>
      </c>
      <c r="E10" s="174">
        <f t="shared" si="2"/>
        <v>1094395</v>
      </c>
      <c r="F10" s="174">
        <f t="shared" si="2"/>
        <v>1000000</v>
      </c>
      <c r="G10" s="174">
        <f t="shared" si="2"/>
        <v>1000000</v>
      </c>
      <c r="H10" s="174">
        <f t="shared" si="2"/>
        <v>0</v>
      </c>
      <c r="I10" s="174">
        <f t="shared" ref="I10" si="3">SUM(I8:I9)</f>
        <v>0</v>
      </c>
      <c r="J10" s="174">
        <f>SUM(J8:J9)</f>
        <v>905605</v>
      </c>
      <c r="K10" s="174">
        <f>SUM(K8:K9)</f>
        <v>905605</v>
      </c>
      <c r="L10" s="174">
        <f>E10+G10+J10</f>
        <v>3000000</v>
      </c>
      <c r="M10" s="175"/>
      <c r="N10" s="176">
        <f t="shared" ref="N10:P10" si="4">SUM(N8:N9)</f>
        <v>0</v>
      </c>
      <c r="O10" s="176">
        <f t="shared" si="4"/>
        <v>1000000</v>
      </c>
      <c r="P10" s="176">
        <f t="shared" si="4"/>
        <v>1000000</v>
      </c>
      <c r="Q10" s="177"/>
      <c r="R10" s="176">
        <f>P10</f>
        <v>1000000</v>
      </c>
      <c r="S10" s="175"/>
      <c r="T10" s="178">
        <f t="shared" ref="T10:U10" si="5">SUM(T8:T9)</f>
        <v>999000</v>
      </c>
      <c r="U10" s="178">
        <f t="shared" si="5"/>
        <v>10000</v>
      </c>
      <c r="V10" s="178">
        <f>SUM(V8:V9)</f>
        <v>999000</v>
      </c>
      <c r="W10" s="178">
        <f t="shared" ref="W10:X10" si="6">SUM(W8:W9)</f>
        <v>1009000</v>
      </c>
      <c r="X10" s="178">
        <f t="shared" si="6"/>
        <v>2008000</v>
      </c>
      <c r="Y10" s="179"/>
    </row>
    <row r="11" spans="1:26">
      <c r="A11" s="161">
        <f t="shared" si="0"/>
        <v>39</v>
      </c>
      <c r="C11" s="162"/>
      <c r="D11" s="162"/>
      <c r="E11" s="162"/>
      <c r="F11" s="162"/>
      <c r="G11" s="162"/>
      <c r="H11" s="163"/>
      <c r="I11" s="162"/>
      <c r="J11" s="162"/>
      <c r="K11" s="162"/>
      <c r="L11" s="162">
        <f t="shared" ref="L11:L40" si="7">E11+G11+K11</f>
        <v>0</v>
      </c>
      <c r="M11" s="164"/>
      <c r="N11" s="165"/>
      <c r="O11" s="165"/>
      <c r="P11" s="165"/>
      <c r="Q11" s="165"/>
      <c r="R11" s="165"/>
      <c r="S11" s="164"/>
      <c r="T11" s="166"/>
      <c r="U11" s="166"/>
      <c r="V11" s="166"/>
      <c r="W11" s="166"/>
      <c r="X11" s="166"/>
      <c r="Y11" s="167"/>
    </row>
    <row r="12" spans="1:26">
      <c r="A12" s="161">
        <f t="shared" si="0"/>
        <v>40</v>
      </c>
      <c r="B12" s="168" t="s">
        <v>147</v>
      </c>
      <c r="C12" s="181">
        <v>2823225.8343540002</v>
      </c>
      <c r="D12" s="181"/>
      <c r="E12" s="181"/>
      <c r="F12" s="181"/>
      <c r="G12" s="181"/>
      <c r="H12" s="182"/>
      <c r="I12" s="181"/>
      <c r="J12" s="181"/>
      <c r="K12" s="181"/>
      <c r="L12" s="162">
        <f t="shared" si="7"/>
        <v>0</v>
      </c>
      <c r="M12" s="183"/>
      <c r="N12" s="184"/>
      <c r="O12" s="184"/>
      <c r="P12" s="184"/>
      <c r="Q12" s="185"/>
      <c r="R12" s="184"/>
      <c r="S12" s="183"/>
      <c r="T12" s="166"/>
      <c r="U12" s="166"/>
      <c r="V12" s="166"/>
      <c r="W12" s="166"/>
      <c r="X12" s="166"/>
      <c r="Y12" s="167"/>
    </row>
    <row r="13" spans="1:26">
      <c r="A13" s="161">
        <f t="shared" si="0"/>
        <v>41</v>
      </c>
      <c r="B13" s="11" t="s">
        <v>148</v>
      </c>
      <c r="C13" s="181"/>
      <c r="D13" s="181"/>
      <c r="E13" s="181"/>
      <c r="F13" s="181"/>
      <c r="G13" s="181"/>
      <c r="H13" s="182"/>
      <c r="I13" s="181"/>
      <c r="J13" s="181"/>
      <c r="K13" s="181"/>
      <c r="L13" s="162">
        <f t="shared" si="7"/>
        <v>0</v>
      </c>
      <c r="M13" s="183"/>
      <c r="N13" s="184"/>
      <c r="O13" s="184"/>
      <c r="P13" s="184"/>
      <c r="Q13" s="184"/>
      <c r="R13" s="184"/>
      <c r="S13" s="183"/>
      <c r="T13" s="166"/>
      <c r="U13" s="166"/>
      <c r="V13" s="166"/>
      <c r="W13" s="53">
        <f t="shared" ref="W13:W37" si="8">U13+V13</f>
        <v>0</v>
      </c>
      <c r="X13" s="53">
        <f t="shared" ref="X13:X37" si="9">T13+W13</f>
        <v>0</v>
      </c>
      <c r="Y13" s="167"/>
    </row>
    <row r="14" spans="1:26" ht="31.5">
      <c r="A14" s="161">
        <f t="shared" si="0"/>
        <v>42</v>
      </c>
      <c r="B14" s="186" t="s">
        <v>149</v>
      </c>
      <c r="C14" s="181"/>
      <c r="D14" s="181">
        <v>200000</v>
      </c>
      <c r="E14" s="181"/>
      <c r="F14" s="181">
        <v>66667</v>
      </c>
      <c r="G14" s="181">
        <f>F14</f>
        <v>66667</v>
      </c>
      <c r="H14" s="182"/>
      <c r="I14" s="181">
        <v>6000</v>
      </c>
      <c r="J14" s="181">
        <v>60666</v>
      </c>
      <c r="K14" s="181">
        <f>J14</f>
        <v>60666</v>
      </c>
      <c r="L14" s="162">
        <f t="shared" si="7"/>
        <v>127333</v>
      </c>
      <c r="M14" s="183"/>
      <c r="N14" s="184">
        <v>6000</v>
      </c>
      <c r="O14" s="184">
        <v>40000</v>
      </c>
      <c r="P14" s="184">
        <f t="shared" ref="P14:P40" si="10">N14+O14</f>
        <v>46000</v>
      </c>
      <c r="Q14" s="185"/>
      <c r="R14" s="184">
        <f>P14</f>
        <v>46000</v>
      </c>
      <c r="S14" s="183"/>
      <c r="T14" s="166">
        <v>66000</v>
      </c>
      <c r="U14" s="166">
        <v>2000</v>
      </c>
      <c r="V14" s="166">
        <v>66000</v>
      </c>
      <c r="W14" s="53">
        <f t="shared" si="8"/>
        <v>68000</v>
      </c>
      <c r="X14" s="53">
        <f t="shared" si="9"/>
        <v>134000</v>
      </c>
      <c r="Y14" s="167" t="s">
        <v>150</v>
      </c>
    </row>
    <row r="15" spans="1:26" ht="31.5">
      <c r="A15" s="161">
        <f t="shared" si="0"/>
        <v>43</v>
      </c>
      <c r="B15" s="186" t="s">
        <v>151</v>
      </c>
      <c r="C15" s="181"/>
      <c r="D15" s="181">
        <v>160000</v>
      </c>
      <c r="E15" s="181"/>
      <c r="F15" s="181">
        <v>53333</v>
      </c>
      <c r="G15" s="181">
        <v>34666</v>
      </c>
      <c r="H15" s="182"/>
      <c r="I15" s="181">
        <v>10000</v>
      </c>
      <c r="J15" s="181">
        <v>38334</v>
      </c>
      <c r="K15" s="181">
        <f>J15</f>
        <v>38334</v>
      </c>
      <c r="L15" s="162">
        <f t="shared" si="7"/>
        <v>73000</v>
      </c>
      <c r="M15" s="183"/>
      <c r="N15" s="184">
        <v>10000</v>
      </c>
      <c r="O15" s="184">
        <v>45000</v>
      </c>
      <c r="P15" s="184">
        <f t="shared" si="10"/>
        <v>55000</v>
      </c>
      <c r="Q15" s="51" t="s">
        <v>152</v>
      </c>
      <c r="R15" s="184">
        <f t="shared" ref="R15:R38" si="11">P15</f>
        <v>55000</v>
      </c>
      <c r="S15" s="183"/>
      <c r="T15" s="166">
        <v>45000</v>
      </c>
      <c r="U15" s="166"/>
      <c r="V15" s="166">
        <v>45000</v>
      </c>
      <c r="W15" s="53">
        <f t="shared" si="8"/>
        <v>45000</v>
      </c>
      <c r="X15" s="53">
        <f t="shared" si="9"/>
        <v>90000</v>
      </c>
      <c r="Y15" s="167" t="s">
        <v>152</v>
      </c>
    </row>
    <row r="16" spans="1:26">
      <c r="A16" s="161">
        <f t="shared" si="0"/>
        <v>44</v>
      </c>
      <c r="B16" s="11" t="s">
        <v>153</v>
      </c>
      <c r="C16" s="181"/>
      <c r="D16" s="181">
        <v>0</v>
      </c>
      <c r="E16" s="181"/>
      <c r="F16" s="181"/>
      <c r="G16" s="181"/>
      <c r="H16" s="182"/>
      <c r="I16" s="181"/>
      <c r="J16" s="181"/>
      <c r="K16" s="181"/>
      <c r="L16" s="162">
        <f t="shared" si="7"/>
        <v>0</v>
      </c>
      <c r="M16" s="183"/>
      <c r="N16" s="184"/>
      <c r="O16" s="184"/>
      <c r="P16" s="184">
        <f t="shared" si="10"/>
        <v>0</v>
      </c>
      <c r="Q16" s="187"/>
      <c r="R16" s="184">
        <f t="shared" si="11"/>
        <v>0</v>
      </c>
      <c r="S16" s="183"/>
      <c r="T16" s="166"/>
      <c r="U16" s="166"/>
      <c r="V16" s="166"/>
      <c r="W16" s="53">
        <f t="shared" si="8"/>
        <v>0</v>
      </c>
      <c r="X16" s="53">
        <f t="shared" si="9"/>
        <v>0</v>
      </c>
      <c r="Y16" s="167"/>
    </row>
    <row r="17" spans="1:25">
      <c r="A17" s="161">
        <f t="shared" si="0"/>
        <v>45</v>
      </c>
      <c r="B17" s="11" t="s">
        <v>153</v>
      </c>
      <c r="C17" s="181"/>
      <c r="D17" s="181">
        <v>0</v>
      </c>
      <c r="E17" s="181"/>
      <c r="F17" s="181"/>
      <c r="G17" s="181"/>
      <c r="H17" s="182"/>
      <c r="I17" s="181"/>
      <c r="J17" s="181"/>
      <c r="K17" s="181"/>
      <c r="L17" s="162">
        <f t="shared" si="7"/>
        <v>0</v>
      </c>
      <c r="M17" s="183"/>
      <c r="N17" s="184"/>
      <c r="O17" s="184"/>
      <c r="P17" s="184">
        <f t="shared" si="10"/>
        <v>0</v>
      </c>
      <c r="Q17" s="188"/>
      <c r="R17" s="184">
        <f t="shared" si="11"/>
        <v>0</v>
      </c>
      <c r="S17" s="183"/>
      <c r="T17" s="166"/>
      <c r="U17" s="166"/>
      <c r="V17" s="166"/>
      <c r="W17" s="53">
        <f t="shared" si="8"/>
        <v>0</v>
      </c>
      <c r="X17" s="53">
        <f t="shared" si="9"/>
        <v>0</v>
      </c>
      <c r="Y17" s="167"/>
    </row>
    <row r="18" spans="1:25">
      <c r="A18" s="161">
        <f t="shared" si="0"/>
        <v>46</v>
      </c>
      <c r="B18" s="11" t="s">
        <v>153</v>
      </c>
      <c r="C18" s="181"/>
      <c r="D18" s="181">
        <v>0</v>
      </c>
      <c r="E18" s="181"/>
      <c r="F18" s="181"/>
      <c r="G18" s="181"/>
      <c r="H18" s="182"/>
      <c r="I18" s="181"/>
      <c r="J18" s="181"/>
      <c r="K18" s="181"/>
      <c r="L18" s="162">
        <f t="shared" si="7"/>
        <v>0</v>
      </c>
      <c r="M18" s="183"/>
      <c r="N18" s="184"/>
      <c r="O18" s="184"/>
      <c r="P18" s="184">
        <f t="shared" si="10"/>
        <v>0</v>
      </c>
      <c r="Q18" s="188"/>
      <c r="R18" s="184">
        <f t="shared" si="11"/>
        <v>0</v>
      </c>
      <c r="S18" s="183"/>
      <c r="T18" s="166"/>
      <c r="U18" s="166"/>
      <c r="V18" s="166"/>
      <c r="W18" s="53">
        <f t="shared" si="8"/>
        <v>0</v>
      </c>
      <c r="X18" s="53">
        <f t="shared" si="9"/>
        <v>0</v>
      </c>
      <c r="Y18" s="167"/>
    </row>
    <row r="19" spans="1:25">
      <c r="A19" s="161">
        <f t="shared" si="0"/>
        <v>47</v>
      </c>
      <c r="B19" s="11" t="s">
        <v>153</v>
      </c>
      <c r="C19" s="181"/>
      <c r="D19" s="181">
        <v>0</v>
      </c>
      <c r="E19" s="181"/>
      <c r="F19" s="181"/>
      <c r="G19" s="181"/>
      <c r="H19" s="182"/>
      <c r="I19" s="181"/>
      <c r="J19" s="181"/>
      <c r="K19" s="181"/>
      <c r="L19" s="162">
        <f t="shared" si="7"/>
        <v>0</v>
      </c>
      <c r="M19" s="183"/>
      <c r="N19" s="184"/>
      <c r="O19" s="184"/>
      <c r="P19" s="184">
        <f t="shared" si="10"/>
        <v>0</v>
      </c>
      <c r="Q19" s="188"/>
      <c r="R19" s="184">
        <f t="shared" si="11"/>
        <v>0</v>
      </c>
      <c r="S19" s="183"/>
      <c r="T19" s="166"/>
      <c r="U19" s="166"/>
      <c r="V19" s="166"/>
      <c r="W19" s="53">
        <f t="shared" si="8"/>
        <v>0</v>
      </c>
      <c r="X19" s="53">
        <f t="shared" si="9"/>
        <v>0</v>
      </c>
      <c r="Y19" s="167"/>
    </row>
    <row r="20" spans="1:25">
      <c r="A20" s="161">
        <f t="shared" si="0"/>
        <v>48</v>
      </c>
      <c r="B20" s="11" t="s">
        <v>153</v>
      </c>
      <c r="C20" s="181"/>
      <c r="D20" s="181">
        <v>0</v>
      </c>
      <c r="E20" s="181"/>
      <c r="F20" s="181"/>
      <c r="G20" s="181"/>
      <c r="H20" s="182"/>
      <c r="I20" s="181"/>
      <c r="J20" s="181"/>
      <c r="K20" s="181"/>
      <c r="L20" s="162">
        <f t="shared" si="7"/>
        <v>0</v>
      </c>
      <c r="M20" s="183"/>
      <c r="N20" s="184"/>
      <c r="O20" s="184"/>
      <c r="P20" s="184">
        <f t="shared" si="10"/>
        <v>0</v>
      </c>
      <c r="Q20" s="188"/>
      <c r="R20" s="184">
        <f t="shared" si="11"/>
        <v>0</v>
      </c>
      <c r="S20" s="183"/>
      <c r="T20" s="166"/>
      <c r="U20" s="166"/>
      <c r="V20" s="166"/>
      <c r="W20" s="53">
        <f t="shared" si="8"/>
        <v>0</v>
      </c>
      <c r="X20" s="53">
        <f t="shared" si="9"/>
        <v>0</v>
      </c>
      <c r="Y20" s="167"/>
    </row>
    <row r="21" spans="1:25">
      <c r="A21" s="161">
        <f t="shared" si="0"/>
        <v>49</v>
      </c>
      <c r="B21" s="11" t="s">
        <v>153</v>
      </c>
      <c r="C21" s="181"/>
      <c r="D21" s="181">
        <v>0</v>
      </c>
      <c r="E21" s="181"/>
      <c r="F21" s="181"/>
      <c r="G21" s="181"/>
      <c r="H21" s="182"/>
      <c r="I21" s="181"/>
      <c r="J21" s="181"/>
      <c r="K21" s="181"/>
      <c r="L21" s="162">
        <f t="shared" si="7"/>
        <v>0</v>
      </c>
      <c r="M21" s="183"/>
      <c r="N21" s="184"/>
      <c r="O21" s="184"/>
      <c r="P21" s="184">
        <f t="shared" si="10"/>
        <v>0</v>
      </c>
      <c r="Q21" s="188"/>
      <c r="R21" s="184">
        <f t="shared" si="11"/>
        <v>0</v>
      </c>
      <c r="S21" s="183"/>
      <c r="T21" s="166"/>
      <c r="U21" s="166"/>
      <c r="V21" s="166"/>
      <c r="W21" s="53">
        <f t="shared" si="8"/>
        <v>0</v>
      </c>
      <c r="X21" s="53">
        <f t="shared" si="9"/>
        <v>0</v>
      </c>
      <c r="Y21" s="167"/>
    </row>
    <row r="22" spans="1:25">
      <c r="A22" s="161" t="s">
        <v>154</v>
      </c>
      <c r="B22" s="11" t="s">
        <v>153</v>
      </c>
      <c r="C22" s="181"/>
      <c r="D22" s="181"/>
      <c r="E22" s="181"/>
      <c r="F22" s="181"/>
      <c r="G22" s="181"/>
      <c r="H22" s="182"/>
      <c r="I22" s="181"/>
      <c r="J22" s="181"/>
      <c r="K22" s="181">
        <f>I23</f>
        <v>0</v>
      </c>
      <c r="L22" s="162">
        <f t="shared" si="7"/>
        <v>0</v>
      </c>
      <c r="M22" s="183"/>
      <c r="N22" s="184"/>
      <c r="O22" s="184"/>
      <c r="P22" s="184">
        <f t="shared" si="10"/>
        <v>0</v>
      </c>
      <c r="Q22" s="188"/>
      <c r="R22" s="184">
        <f t="shared" si="11"/>
        <v>0</v>
      </c>
      <c r="S22" s="183"/>
      <c r="T22" s="166"/>
      <c r="U22" s="166"/>
      <c r="V22" s="166"/>
      <c r="W22" s="53">
        <f t="shared" si="8"/>
        <v>0</v>
      </c>
      <c r="X22" s="53">
        <f t="shared" si="9"/>
        <v>0</v>
      </c>
      <c r="Y22" s="167"/>
    </row>
    <row r="23" spans="1:25">
      <c r="A23" s="189" t="s">
        <v>155</v>
      </c>
      <c r="B23" s="11" t="s">
        <v>156</v>
      </c>
      <c r="C23" s="181"/>
      <c r="D23" s="181"/>
      <c r="E23" s="181"/>
      <c r="F23" s="181"/>
      <c r="G23" s="181"/>
      <c r="H23" s="182"/>
      <c r="I23" s="181"/>
      <c r="J23" s="181"/>
      <c r="K23" s="181">
        <f>SUM(I23:J23)</f>
        <v>0</v>
      </c>
      <c r="L23" s="162">
        <f t="shared" si="7"/>
        <v>0</v>
      </c>
      <c r="M23" s="183"/>
      <c r="N23" s="184"/>
      <c r="O23" s="184"/>
      <c r="P23" s="184">
        <f t="shared" si="10"/>
        <v>0</v>
      </c>
      <c r="Q23" s="188"/>
      <c r="R23" s="184">
        <f t="shared" si="11"/>
        <v>0</v>
      </c>
      <c r="S23" s="183"/>
      <c r="T23" s="166"/>
      <c r="U23" s="166"/>
      <c r="V23" s="166"/>
      <c r="W23" s="53">
        <f t="shared" si="8"/>
        <v>0</v>
      </c>
      <c r="X23" s="53">
        <f t="shared" si="9"/>
        <v>0</v>
      </c>
      <c r="Y23" s="167"/>
    </row>
    <row r="24" spans="1:25">
      <c r="A24" s="161">
        <f>A21+1</f>
        <v>50</v>
      </c>
      <c r="B24" s="11" t="s">
        <v>153</v>
      </c>
      <c r="C24" s="181"/>
      <c r="D24" s="181">
        <v>0</v>
      </c>
      <c r="E24" s="181"/>
      <c r="F24" s="181"/>
      <c r="G24" s="181"/>
      <c r="H24" s="182"/>
      <c r="I24" s="181"/>
      <c r="J24" s="181"/>
      <c r="K24" s="181"/>
      <c r="L24" s="162">
        <f t="shared" si="7"/>
        <v>0</v>
      </c>
      <c r="M24" s="183"/>
      <c r="N24" s="184"/>
      <c r="O24" s="184"/>
      <c r="P24" s="184">
        <f t="shared" si="10"/>
        <v>0</v>
      </c>
      <c r="Q24" s="190"/>
      <c r="R24" s="184">
        <f t="shared" si="11"/>
        <v>0</v>
      </c>
      <c r="S24" s="183"/>
      <c r="T24" s="166"/>
      <c r="U24" s="166"/>
      <c r="V24" s="166"/>
      <c r="W24" s="53">
        <f t="shared" si="8"/>
        <v>0</v>
      </c>
      <c r="X24" s="53">
        <f t="shared" si="9"/>
        <v>0</v>
      </c>
      <c r="Y24" s="167"/>
    </row>
    <row r="25" spans="1:25">
      <c r="A25" s="161">
        <f t="shared" si="0"/>
        <v>51</v>
      </c>
      <c r="B25" s="11" t="s">
        <v>153</v>
      </c>
      <c r="C25" s="181"/>
      <c r="D25" s="181">
        <v>0</v>
      </c>
      <c r="E25" s="181"/>
      <c r="F25" s="181"/>
      <c r="G25" s="181"/>
      <c r="H25" s="182"/>
      <c r="I25" s="181"/>
      <c r="J25" s="181"/>
      <c r="K25" s="181"/>
      <c r="L25" s="162">
        <f t="shared" si="7"/>
        <v>0</v>
      </c>
      <c r="M25" s="183"/>
      <c r="N25" s="184"/>
      <c r="O25" s="184"/>
      <c r="P25" s="184">
        <f t="shared" si="10"/>
        <v>0</v>
      </c>
      <c r="Q25" s="51"/>
      <c r="R25" s="184">
        <f t="shared" si="11"/>
        <v>0</v>
      </c>
      <c r="S25" s="183"/>
      <c r="T25" s="166"/>
      <c r="U25" s="166"/>
      <c r="V25" s="166"/>
      <c r="W25" s="53">
        <f t="shared" si="8"/>
        <v>0</v>
      </c>
      <c r="X25" s="53">
        <f t="shared" si="9"/>
        <v>0</v>
      </c>
      <c r="Y25" s="167"/>
    </row>
    <row r="26" spans="1:25" ht="35.25" customHeight="1">
      <c r="A26" s="161">
        <f t="shared" si="0"/>
        <v>52</v>
      </c>
      <c r="B26" s="186" t="s">
        <v>157</v>
      </c>
      <c r="C26" s="181"/>
      <c r="D26" s="181">
        <v>30000</v>
      </c>
      <c r="E26" s="181"/>
      <c r="F26" s="162">
        <v>17000</v>
      </c>
      <c r="G26" s="162">
        <v>17000</v>
      </c>
      <c r="H26" s="163" t="s">
        <v>158</v>
      </c>
      <c r="I26" s="162"/>
      <c r="J26" s="162">
        <v>10000</v>
      </c>
      <c r="K26" s="181">
        <f t="shared" ref="K26:K36" si="12">J26</f>
        <v>10000</v>
      </c>
      <c r="L26" s="162">
        <f t="shared" si="7"/>
        <v>27000</v>
      </c>
      <c r="M26" s="164"/>
      <c r="N26" s="165"/>
      <c r="O26" s="165">
        <v>25000</v>
      </c>
      <c r="P26" s="165">
        <f t="shared" si="10"/>
        <v>25000</v>
      </c>
      <c r="Q26" s="51" t="s">
        <v>159</v>
      </c>
      <c r="R26" s="165">
        <f t="shared" si="11"/>
        <v>25000</v>
      </c>
      <c r="S26" s="164"/>
      <c r="T26" s="191">
        <v>40000</v>
      </c>
      <c r="U26" s="191">
        <v>5000</v>
      </c>
      <c r="V26" s="191">
        <v>40000</v>
      </c>
      <c r="W26" s="53">
        <f t="shared" si="8"/>
        <v>45000</v>
      </c>
      <c r="X26" s="53">
        <f t="shared" si="9"/>
        <v>85000</v>
      </c>
      <c r="Y26" s="167" t="s">
        <v>159</v>
      </c>
    </row>
    <row r="27" spans="1:25" ht="36.950000000000003" customHeight="1">
      <c r="A27" s="161">
        <v>53</v>
      </c>
      <c r="B27" s="192" t="s">
        <v>160</v>
      </c>
      <c r="C27" s="181"/>
      <c r="D27" s="181">
        <v>20000</v>
      </c>
      <c r="E27" s="181"/>
      <c r="F27" s="162">
        <v>5000</v>
      </c>
      <c r="G27" s="162">
        <v>5000</v>
      </c>
      <c r="H27" s="163" t="s">
        <v>161</v>
      </c>
      <c r="I27" s="162">
        <v>5000</v>
      </c>
      <c r="J27" s="162">
        <v>5000</v>
      </c>
      <c r="K27" s="181">
        <f t="shared" si="12"/>
        <v>5000</v>
      </c>
      <c r="L27" s="162">
        <f t="shared" si="7"/>
        <v>10000</v>
      </c>
      <c r="M27" s="164"/>
      <c r="N27" s="165">
        <v>5000</v>
      </c>
      <c r="O27" s="165">
        <v>20000</v>
      </c>
      <c r="P27" s="165">
        <f t="shared" si="10"/>
        <v>25000</v>
      </c>
      <c r="Q27" s="51" t="s">
        <v>162</v>
      </c>
      <c r="R27" s="165">
        <f t="shared" si="11"/>
        <v>25000</v>
      </c>
      <c r="S27" s="164"/>
      <c r="T27" s="191">
        <v>27500</v>
      </c>
      <c r="U27" s="191">
        <v>5000</v>
      </c>
      <c r="V27" s="191">
        <v>27500</v>
      </c>
      <c r="W27" s="53">
        <f t="shared" si="8"/>
        <v>32500</v>
      </c>
      <c r="X27" s="53">
        <f t="shared" si="9"/>
        <v>60000</v>
      </c>
      <c r="Y27" s="167" t="s">
        <v>162</v>
      </c>
    </row>
    <row r="28" spans="1:25" ht="32.25" customHeight="1">
      <c r="A28" s="161">
        <f t="shared" si="0"/>
        <v>54</v>
      </c>
      <c r="B28" s="192" t="s">
        <v>163</v>
      </c>
      <c r="C28" s="181"/>
      <c r="D28" s="181">
        <v>135000</v>
      </c>
      <c r="E28" s="181"/>
      <c r="F28" s="162">
        <v>75000</v>
      </c>
      <c r="G28" s="162">
        <v>40000</v>
      </c>
      <c r="H28" s="163" t="s">
        <v>164</v>
      </c>
      <c r="I28" s="162">
        <v>5000</v>
      </c>
      <c r="J28" s="162">
        <v>65000</v>
      </c>
      <c r="K28" s="181">
        <f t="shared" si="12"/>
        <v>65000</v>
      </c>
      <c r="L28" s="162">
        <f t="shared" si="7"/>
        <v>105000</v>
      </c>
      <c r="M28" s="164"/>
      <c r="N28" s="165">
        <v>5000</v>
      </c>
      <c r="O28" s="165">
        <v>40000</v>
      </c>
      <c r="P28" s="165">
        <f t="shared" si="10"/>
        <v>45000</v>
      </c>
      <c r="Q28" s="51" t="s">
        <v>165</v>
      </c>
      <c r="R28" s="165">
        <f t="shared" si="11"/>
        <v>45000</v>
      </c>
      <c r="S28" s="164"/>
      <c r="T28" s="191">
        <v>45000</v>
      </c>
      <c r="U28" s="191">
        <v>30000</v>
      </c>
      <c r="V28" s="191">
        <v>45000</v>
      </c>
      <c r="W28" s="53">
        <f t="shared" si="8"/>
        <v>75000</v>
      </c>
      <c r="X28" s="53">
        <f t="shared" si="9"/>
        <v>120000</v>
      </c>
      <c r="Y28" s="167" t="s">
        <v>166</v>
      </c>
    </row>
    <row r="29" spans="1:25" ht="31.5" customHeight="1">
      <c r="A29" s="161">
        <f t="shared" si="0"/>
        <v>55</v>
      </c>
      <c r="B29" s="11" t="s">
        <v>167</v>
      </c>
      <c r="C29" s="181"/>
      <c r="D29" s="181">
        <v>120000</v>
      </c>
      <c r="E29" s="181"/>
      <c r="F29" s="181">
        <v>45000</v>
      </c>
      <c r="G29" s="181">
        <v>29000</v>
      </c>
      <c r="H29" s="182" t="s">
        <v>168</v>
      </c>
      <c r="I29" s="181">
        <v>10000</v>
      </c>
      <c r="J29" s="181">
        <v>30000</v>
      </c>
      <c r="K29" s="181">
        <f t="shared" si="12"/>
        <v>30000</v>
      </c>
      <c r="L29" s="162">
        <f t="shared" si="7"/>
        <v>59000</v>
      </c>
      <c r="M29" s="164"/>
      <c r="N29" s="184">
        <v>10000</v>
      </c>
      <c r="O29" s="165">
        <v>40000</v>
      </c>
      <c r="P29" s="165">
        <f t="shared" si="10"/>
        <v>50000</v>
      </c>
      <c r="Q29" s="51" t="s">
        <v>169</v>
      </c>
      <c r="R29" s="165">
        <f t="shared" si="11"/>
        <v>50000</v>
      </c>
      <c r="S29" s="164"/>
      <c r="T29" s="191">
        <v>45000</v>
      </c>
      <c r="U29" s="191">
        <v>10000</v>
      </c>
      <c r="V29" s="191">
        <v>42000</v>
      </c>
      <c r="W29" s="53">
        <f t="shared" si="8"/>
        <v>52000</v>
      </c>
      <c r="X29" s="53">
        <f t="shared" si="9"/>
        <v>97000</v>
      </c>
      <c r="Y29" s="167" t="s">
        <v>170</v>
      </c>
    </row>
    <row r="30" spans="1:25" ht="39" customHeight="1">
      <c r="A30" s="161">
        <f t="shared" si="0"/>
        <v>56</v>
      </c>
      <c r="B30" s="11" t="s">
        <v>171</v>
      </c>
      <c r="C30" s="181"/>
      <c r="D30" s="162">
        <v>100000</v>
      </c>
      <c r="E30" s="181"/>
      <c r="F30" s="162">
        <v>50000</v>
      </c>
      <c r="G30" s="162">
        <v>66666</v>
      </c>
      <c r="H30" s="163" t="s">
        <v>172</v>
      </c>
      <c r="I30" s="162"/>
      <c r="J30" s="162">
        <v>25000</v>
      </c>
      <c r="K30" s="181">
        <f t="shared" si="12"/>
        <v>25000</v>
      </c>
      <c r="L30" s="162">
        <f t="shared" si="7"/>
        <v>91666</v>
      </c>
      <c r="M30" s="164"/>
      <c r="N30" s="165"/>
      <c r="O30" s="165">
        <v>125000</v>
      </c>
      <c r="P30" s="165">
        <f t="shared" si="10"/>
        <v>125000</v>
      </c>
      <c r="Q30" s="51" t="s">
        <v>173</v>
      </c>
      <c r="R30" s="165">
        <f t="shared" si="11"/>
        <v>125000</v>
      </c>
      <c r="S30" s="164"/>
      <c r="T30" s="191">
        <v>125000</v>
      </c>
      <c r="U30" s="191"/>
      <c r="V30" s="191">
        <v>125000</v>
      </c>
      <c r="W30" s="53">
        <f t="shared" si="8"/>
        <v>125000</v>
      </c>
      <c r="X30" s="53">
        <f t="shared" si="9"/>
        <v>250000</v>
      </c>
      <c r="Y30" s="167" t="s">
        <v>174</v>
      </c>
    </row>
    <row r="31" spans="1:25" ht="31.5">
      <c r="A31" s="161">
        <f>A30+1</f>
        <v>57</v>
      </c>
      <c r="B31" s="192" t="s">
        <v>175</v>
      </c>
      <c r="C31" s="181"/>
      <c r="D31" s="162">
        <v>0</v>
      </c>
      <c r="E31" s="181"/>
      <c r="F31" s="181"/>
      <c r="G31" s="181"/>
      <c r="H31" s="182"/>
      <c r="I31" s="162"/>
      <c r="J31" s="162"/>
      <c r="K31" s="181">
        <f t="shared" si="12"/>
        <v>0</v>
      </c>
      <c r="L31" s="162">
        <f t="shared" si="7"/>
        <v>0</v>
      </c>
      <c r="M31" s="164"/>
      <c r="N31" s="165"/>
      <c r="O31" s="165">
        <v>102500</v>
      </c>
      <c r="P31" s="165">
        <f t="shared" si="10"/>
        <v>102500</v>
      </c>
      <c r="Q31" s="186" t="s">
        <v>176</v>
      </c>
      <c r="R31" s="165">
        <f t="shared" si="11"/>
        <v>102500</v>
      </c>
      <c r="S31" s="164"/>
      <c r="T31" s="191">
        <v>75000</v>
      </c>
      <c r="U31" s="191"/>
      <c r="V31" s="191">
        <v>75000</v>
      </c>
      <c r="W31" s="53">
        <f t="shared" si="8"/>
        <v>75000</v>
      </c>
      <c r="X31" s="53">
        <f t="shared" si="9"/>
        <v>150000</v>
      </c>
      <c r="Y31" s="167" t="s">
        <v>177</v>
      </c>
    </row>
    <row r="32" spans="1:25">
      <c r="A32" s="161" t="s">
        <v>178</v>
      </c>
      <c r="B32" s="11" t="s">
        <v>179</v>
      </c>
      <c r="C32" s="181"/>
      <c r="D32" s="162"/>
      <c r="E32" s="181"/>
      <c r="F32" s="181"/>
      <c r="G32" s="181"/>
      <c r="H32" s="182"/>
      <c r="I32" s="162"/>
      <c r="J32" s="162"/>
      <c r="K32" s="181">
        <f t="shared" si="12"/>
        <v>0</v>
      </c>
      <c r="L32" s="162">
        <f t="shared" si="7"/>
        <v>0</v>
      </c>
      <c r="M32" s="164"/>
      <c r="N32" s="165"/>
      <c r="O32" s="165"/>
      <c r="P32" s="165">
        <f t="shared" si="10"/>
        <v>0</v>
      </c>
      <c r="Q32" s="51"/>
      <c r="R32" s="165">
        <f t="shared" si="11"/>
        <v>0</v>
      </c>
      <c r="S32" s="164"/>
      <c r="T32" s="191"/>
      <c r="U32" s="191"/>
      <c r="V32" s="191"/>
      <c r="W32" s="53">
        <f t="shared" si="8"/>
        <v>0</v>
      </c>
      <c r="X32" s="53">
        <f t="shared" si="9"/>
        <v>0</v>
      </c>
      <c r="Y32" s="167"/>
    </row>
    <row r="33" spans="1:25">
      <c r="A33" s="161">
        <f>A31+1</f>
        <v>58</v>
      </c>
      <c r="B33" s="11" t="s">
        <v>153</v>
      </c>
      <c r="C33" s="181"/>
      <c r="D33" s="162">
        <v>0</v>
      </c>
      <c r="E33" s="181"/>
      <c r="F33" s="162"/>
      <c r="G33" s="162"/>
      <c r="H33" s="163"/>
      <c r="I33" s="162"/>
      <c r="J33" s="162"/>
      <c r="K33" s="181">
        <f t="shared" si="12"/>
        <v>0</v>
      </c>
      <c r="L33" s="162">
        <f t="shared" si="7"/>
        <v>0</v>
      </c>
      <c r="M33" s="164"/>
      <c r="N33" s="165"/>
      <c r="O33" s="165"/>
      <c r="P33" s="165">
        <f t="shared" si="10"/>
        <v>0</v>
      </c>
      <c r="Q33" s="51"/>
      <c r="R33" s="165">
        <f t="shared" si="11"/>
        <v>0</v>
      </c>
      <c r="S33" s="164"/>
      <c r="T33" s="191"/>
      <c r="U33" s="191"/>
      <c r="V33" s="191"/>
      <c r="W33" s="53">
        <f t="shared" si="8"/>
        <v>0</v>
      </c>
      <c r="X33" s="53">
        <f t="shared" si="9"/>
        <v>0</v>
      </c>
      <c r="Y33" s="167"/>
    </row>
    <row r="34" spans="1:25" s="199" customFormat="1">
      <c r="A34" s="193">
        <f t="shared" si="0"/>
        <v>59</v>
      </c>
      <c r="B34" s="194" t="s">
        <v>153</v>
      </c>
      <c r="C34" s="195">
        <v>0</v>
      </c>
      <c r="D34" s="195">
        <v>0</v>
      </c>
      <c r="E34" s="49"/>
      <c r="F34" s="49"/>
      <c r="G34" s="49"/>
      <c r="H34" s="50"/>
      <c r="I34" s="49"/>
      <c r="J34" s="49"/>
      <c r="K34" s="181">
        <f t="shared" si="12"/>
        <v>0</v>
      </c>
      <c r="L34" s="162">
        <f t="shared" si="7"/>
        <v>0</v>
      </c>
      <c r="M34" s="164"/>
      <c r="N34" s="44"/>
      <c r="O34" s="165"/>
      <c r="P34" s="165">
        <f t="shared" si="10"/>
        <v>0</v>
      </c>
      <c r="Q34" s="196"/>
      <c r="R34" s="165">
        <f t="shared" si="11"/>
        <v>0</v>
      </c>
      <c r="S34" s="164"/>
      <c r="T34" s="197"/>
      <c r="U34" s="197"/>
      <c r="V34" s="197"/>
      <c r="W34" s="53">
        <f t="shared" si="8"/>
        <v>0</v>
      </c>
      <c r="X34" s="53">
        <f t="shared" si="9"/>
        <v>0</v>
      </c>
      <c r="Y34" s="198"/>
    </row>
    <row r="35" spans="1:25" s="199" customFormat="1">
      <c r="A35" s="193">
        <f t="shared" si="0"/>
        <v>60</v>
      </c>
      <c r="B35" s="194" t="s">
        <v>153</v>
      </c>
      <c r="C35" s="195">
        <v>0</v>
      </c>
      <c r="D35" s="195">
        <v>0</v>
      </c>
      <c r="E35" s="49"/>
      <c r="F35" s="49"/>
      <c r="G35" s="49"/>
      <c r="H35" s="50"/>
      <c r="I35" s="49"/>
      <c r="J35" s="49"/>
      <c r="K35" s="181">
        <f t="shared" si="12"/>
        <v>0</v>
      </c>
      <c r="L35" s="162">
        <f t="shared" si="7"/>
        <v>0</v>
      </c>
      <c r="M35" s="164"/>
      <c r="N35" s="44"/>
      <c r="O35" s="165"/>
      <c r="P35" s="165">
        <f t="shared" si="10"/>
        <v>0</v>
      </c>
      <c r="Q35" s="196"/>
      <c r="R35" s="165">
        <f t="shared" si="11"/>
        <v>0</v>
      </c>
      <c r="S35" s="164"/>
      <c r="T35" s="197"/>
      <c r="U35" s="197"/>
      <c r="V35" s="197"/>
      <c r="W35" s="53">
        <f t="shared" si="8"/>
        <v>0</v>
      </c>
      <c r="X35" s="53">
        <f t="shared" si="9"/>
        <v>0</v>
      </c>
      <c r="Y35" s="198"/>
    </row>
    <row r="36" spans="1:25" s="199" customFormat="1">
      <c r="A36" s="193">
        <f t="shared" si="0"/>
        <v>61</v>
      </c>
      <c r="B36" s="194" t="s">
        <v>153</v>
      </c>
      <c r="C36" s="195">
        <v>150000</v>
      </c>
      <c r="D36" s="195">
        <v>0</v>
      </c>
      <c r="E36" s="49"/>
      <c r="F36" s="49"/>
      <c r="G36" s="49"/>
      <c r="H36" s="50"/>
      <c r="I36" s="49"/>
      <c r="J36" s="49"/>
      <c r="K36" s="181">
        <f t="shared" si="12"/>
        <v>0</v>
      </c>
      <c r="L36" s="162">
        <f t="shared" si="7"/>
        <v>0</v>
      </c>
      <c r="M36" s="164"/>
      <c r="N36" s="44"/>
      <c r="O36" s="165"/>
      <c r="P36" s="165">
        <f t="shared" si="10"/>
        <v>0</v>
      </c>
      <c r="Q36" s="196"/>
      <c r="R36" s="165">
        <f t="shared" si="11"/>
        <v>0</v>
      </c>
      <c r="S36" s="164"/>
      <c r="T36" s="197"/>
      <c r="U36" s="197"/>
      <c r="V36" s="197"/>
      <c r="W36" s="53">
        <f t="shared" si="8"/>
        <v>0</v>
      </c>
      <c r="X36" s="53">
        <f t="shared" si="9"/>
        <v>0</v>
      </c>
      <c r="Y36" s="198"/>
    </row>
    <row r="37" spans="1:25" s="199" customFormat="1">
      <c r="A37" s="193" t="s">
        <v>180</v>
      </c>
      <c r="B37" s="194" t="s">
        <v>179</v>
      </c>
      <c r="C37" s="195"/>
      <c r="D37" s="195">
        <v>0</v>
      </c>
      <c r="E37" s="49">
        <v>0</v>
      </c>
      <c r="F37" s="49"/>
      <c r="G37" s="49">
        <v>0</v>
      </c>
      <c r="H37" s="50"/>
      <c r="I37" s="49">
        <v>0</v>
      </c>
      <c r="J37" s="49">
        <v>0</v>
      </c>
      <c r="K37" s="49">
        <v>36000</v>
      </c>
      <c r="L37" s="162">
        <f t="shared" si="7"/>
        <v>36000</v>
      </c>
      <c r="M37" s="164"/>
      <c r="N37" s="44">
        <v>0</v>
      </c>
      <c r="O37" s="165"/>
      <c r="P37" s="165">
        <f t="shared" si="10"/>
        <v>0</v>
      </c>
      <c r="Q37" s="196"/>
      <c r="R37" s="165">
        <f t="shared" si="11"/>
        <v>0</v>
      </c>
      <c r="S37" s="164"/>
      <c r="T37" s="197"/>
      <c r="U37" s="197"/>
      <c r="V37" s="197"/>
      <c r="W37" s="53">
        <f t="shared" si="8"/>
        <v>0</v>
      </c>
      <c r="X37" s="53">
        <f t="shared" si="9"/>
        <v>0</v>
      </c>
      <c r="Y37" s="198"/>
    </row>
    <row r="38" spans="1:25" s="180" customFormat="1">
      <c r="A38" s="172">
        <v>62</v>
      </c>
      <c r="B38" s="173" t="s">
        <v>147</v>
      </c>
      <c r="C38" s="174">
        <f>SUM(C12:C36)</f>
        <v>2973225.8343540002</v>
      </c>
      <c r="D38" s="174">
        <f>SUM(D11:D37)</f>
        <v>765000</v>
      </c>
      <c r="E38" s="174">
        <f>310170+20909</f>
        <v>331079</v>
      </c>
      <c r="F38" s="174">
        <f>SUM(F11:F36)</f>
        <v>312000</v>
      </c>
      <c r="G38" s="174">
        <f>SUM(G11:G36)</f>
        <v>258999</v>
      </c>
      <c r="H38" s="200"/>
      <c r="I38" s="174">
        <f>SUM(I11:I37)</f>
        <v>36000</v>
      </c>
      <c r="J38" s="174">
        <f>SUM(J11:J37)</f>
        <v>234000</v>
      </c>
      <c r="K38" s="174">
        <f>SUM(K11:K37)</f>
        <v>270000</v>
      </c>
      <c r="L38" s="174">
        <f t="shared" si="7"/>
        <v>860078</v>
      </c>
      <c r="M38" s="175"/>
      <c r="N38" s="176">
        <f>SUM(N11:N37)</f>
        <v>36000</v>
      </c>
      <c r="O38" s="176">
        <f t="shared" ref="O38:P38" si="13">SUM(O11:O37)</f>
        <v>437500</v>
      </c>
      <c r="P38" s="176">
        <f t="shared" si="13"/>
        <v>473500</v>
      </c>
      <c r="Q38" s="201"/>
      <c r="R38" s="176">
        <f t="shared" si="11"/>
        <v>473500</v>
      </c>
      <c r="S38" s="175"/>
      <c r="T38" s="178">
        <f t="shared" ref="T38:X38" si="14">SUM(T11:T37)</f>
        <v>468500</v>
      </c>
      <c r="U38" s="178">
        <f t="shared" si="14"/>
        <v>52000</v>
      </c>
      <c r="V38" s="178">
        <f t="shared" si="14"/>
        <v>465500</v>
      </c>
      <c r="W38" s="178">
        <f t="shared" si="14"/>
        <v>517500</v>
      </c>
      <c r="X38" s="178">
        <f t="shared" si="14"/>
        <v>986000</v>
      </c>
      <c r="Y38" s="179"/>
    </row>
    <row r="39" spans="1:25">
      <c r="A39" s="161">
        <f t="shared" si="0"/>
        <v>63</v>
      </c>
      <c r="C39" s="162"/>
      <c r="D39" s="162"/>
      <c r="E39" s="162"/>
      <c r="F39" s="162"/>
      <c r="G39" s="162"/>
      <c r="H39" s="163"/>
      <c r="I39" s="162"/>
      <c r="J39" s="162"/>
      <c r="K39" s="162"/>
      <c r="L39" s="162">
        <f t="shared" si="7"/>
        <v>0</v>
      </c>
      <c r="M39" s="164"/>
      <c r="N39" s="165"/>
      <c r="O39" s="165"/>
      <c r="P39" s="165">
        <f t="shared" si="10"/>
        <v>0</v>
      </c>
      <c r="Q39" s="196"/>
      <c r="R39" s="165">
        <v>0</v>
      </c>
      <c r="S39" s="164"/>
      <c r="T39" s="191"/>
      <c r="U39" s="191"/>
      <c r="V39" s="191"/>
      <c r="W39" s="191"/>
      <c r="X39" s="191"/>
      <c r="Y39" s="167"/>
    </row>
    <row r="40" spans="1:25" ht="33" customHeight="1">
      <c r="A40" s="161">
        <f t="shared" si="0"/>
        <v>64</v>
      </c>
      <c r="B40" s="11" t="s">
        <v>181</v>
      </c>
      <c r="C40" s="162"/>
      <c r="D40" s="162">
        <v>1476773.3150487677</v>
      </c>
      <c r="E40" s="162">
        <v>340543</v>
      </c>
      <c r="F40" s="162">
        <f>'[3]Salary Summary 19 for 2019-2021'!L11</f>
        <v>519505.56026476802</v>
      </c>
      <c r="G40" s="162">
        <f>F40</f>
        <v>519505.56026476802</v>
      </c>
      <c r="H40" s="163"/>
      <c r="I40" s="162"/>
      <c r="J40" s="162">
        <v>438521</v>
      </c>
      <c r="K40" s="69">
        <f>J40</f>
        <v>438521</v>
      </c>
      <c r="L40" s="162">
        <f t="shared" si="7"/>
        <v>1298569.5602647681</v>
      </c>
      <c r="M40" s="164"/>
      <c r="N40" s="165"/>
      <c r="O40" s="165">
        <f>'Salary Summary 21 for 2022-2024'!M12</f>
        <v>533172.35597359284</v>
      </c>
      <c r="P40" s="165">
        <f t="shared" si="10"/>
        <v>533172.35597359284</v>
      </c>
      <c r="Q40" s="170" t="s">
        <v>182</v>
      </c>
      <c r="R40" s="165">
        <f>P40</f>
        <v>533172.35597359284</v>
      </c>
      <c r="S40" s="164"/>
      <c r="T40" s="202">
        <f>'Salary Summary 21 for 2022-2024'!Q12</f>
        <v>555432.77964907733</v>
      </c>
      <c r="U40" s="191"/>
      <c r="V40" s="202">
        <f>'Salary Summary 21 for 2022-2024'!U12</f>
        <v>573613.26106630836</v>
      </c>
      <c r="W40" s="53">
        <f>U40+V40</f>
        <v>573613.26106630836</v>
      </c>
      <c r="X40" s="53">
        <f>T40+W40</f>
        <v>1129046.0407153857</v>
      </c>
      <c r="Y40" s="167" t="s">
        <v>183</v>
      </c>
    </row>
    <row r="41" spans="1:25" s="210" customFormat="1" ht="16.149999999999999" thickBot="1">
      <c r="A41" s="203">
        <v>65</v>
      </c>
      <c r="B41" s="204" t="s">
        <v>184</v>
      </c>
      <c r="C41" s="205">
        <f>C10+C38</f>
        <v>5973225.8343540002</v>
      </c>
      <c r="D41" s="205">
        <f t="shared" ref="D41:L41" si="15">D10+D38+D40</f>
        <v>5241773.3150487673</v>
      </c>
      <c r="E41" s="205">
        <f t="shared" si="15"/>
        <v>1766017</v>
      </c>
      <c r="F41" s="205">
        <f t="shared" si="15"/>
        <v>1831505.5602647681</v>
      </c>
      <c r="G41" s="205">
        <f t="shared" si="15"/>
        <v>1778504.5602647681</v>
      </c>
      <c r="H41" s="205">
        <f t="shared" si="15"/>
        <v>0</v>
      </c>
      <c r="I41" s="205">
        <f t="shared" si="15"/>
        <v>36000</v>
      </c>
      <c r="J41" s="205">
        <f t="shared" si="15"/>
        <v>1578126</v>
      </c>
      <c r="K41" s="205">
        <f t="shared" si="15"/>
        <v>1614126</v>
      </c>
      <c r="L41" s="205">
        <f t="shared" si="15"/>
        <v>5158647.5602647681</v>
      </c>
      <c r="M41" s="206"/>
      <c r="N41" s="207">
        <f t="shared" ref="N41:P41" si="16">N10+N38+N40</f>
        <v>36000</v>
      </c>
      <c r="O41" s="207">
        <f t="shared" si="16"/>
        <v>1970672.355973593</v>
      </c>
      <c r="P41" s="207">
        <f t="shared" si="16"/>
        <v>2006672.355973593</v>
      </c>
      <c r="Q41" s="207"/>
      <c r="R41" s="207">
        <f>P41</f>
        <v>2006672.355973593</v>
      </c>
      <c r="S41" s="206"/>
      <c r="T41" s="208">
        <f t="shared" ref="T41:X41" si="17">T10+T38+T40</f>
        <v>2022932.7796490774</v>
      </c>
      <c r="U41" s="208">
        <f t="shared" si="17"/>
        <v>62000</v>
      </c>
      <c r="V41" s="208">
        <f t="shared" si="17"/>
        <v>2038113.2610663082</v>
      </c>
      <c r="W41" s="208">
        <f t="shared" si="17"/>
        <v>2100113.2610663082</v>
      </c>
      <c r="X41" s="208">
        <f t="shared" si="17"/>
        <v>4123046.0407153857</v>
      </c>
      <c r="Y41" s="209"/>
    </row>
    <row r="43" spans="1:25">
      <c r="Q43" s="213"/>
    </row>
    <row r="46" spans="1:25">
      <c r="K46" s="69">
        <f>SUM(K36:K45)</f>
        <v>2358647</v>
      </c>
      <c r="L46" s="69">
        <f>E41+G41+K41</f>
        <v>5158647.5602647681</v>
      </c>
    </row>
    <row r="47" spans="1:25">
      <c r="F47" s="69">
        <f>SUBTOTAL(9,F8:F28)</f>
        <v>2217000</v>
      </c>
      <c r="L47" s="69">
        <f>L46-L41</f>
        <v>0</v>
      </c>
    </row>
    <row r="48" spans="1:25">
      <c r="F48" s="69">
        <v>1141667</v>
      </c>
    </row>
    <row r="50" spans="2:19">
      <c r="B50" s="169"/>
      <c r="C50" s="214"/>
      <c r="D50" s="214"/>
      <c r="E50" s="214"/>
      <c r="F50" s="214"/>
      <c r="G50" s="214"/>
      <c r="H50" s="215"/>
      <c r="I50" s="214"/>
      <c r="J50" s="214"/>
      <c r="K50" s="214"/>
      <c r="L50" s="214"/>
      <c r="M50" s="216"/>
      <c r="N50" s="214"/>
      <c r="O50" s="214"/>
      <c r="P50" s="214"/>
      <c r="R50" s="214"/>
      <c r="S50" s="216"/>
    </row>
    <row r="51" spans="2:19">
      <c r="B51" s="169"/>
      <c r="C51" s="214"/>
      <c r="D51" s="214"/>
      <c r="E51" s="214"/>
      <c r="F51" s="214"/>
      <c r="G51" s="214"/>
      <c r="H51" s="215"/>
      <c r="I51" s="214"/>
      <c r="J51" s="214"/>
      <c r="K51" s="214"/>
      <c r="L51" s="214"/>
      <c r="M51" s="216"/>
      <c r="N51" s="214"/>
      <c r="O51" s="214"/>
      <c r="P51" s="214"/>
      <c r="R51" s="214"/>
      <c r="S51" s="216"/>
    </row>
    <row r="52" spans="2:19">
      <c r="B52" s="169"/>
      <c r="C52" s="214"/>
      <c r="D52" s="214"/>
      <c r="E52" s="214"/>
      <c r="F52" s="214"/>
      <c r="G52" s="214"/>
      <c r="H52" s="215"/>
      <c r="I52" s="214"/>
      <c r="J52" s="214">
        <f>SUM(J48:J51)</f>
        <v>0</v>
      </c>
      <c r="K52" s="214"/>
      <c r="L52" s="214"/>
      <c r="M52" s="216"/>
      <c r="N52" s="214"/>
      <c r="O52" s="214"/>
      <c r="P52" s="214"/>
      <c r="Q52" s="214"/>
      <c r="R52" s="214"/>
      <c r="S52" s="216"/>
    </row>
    <row r="53" spans="2:19">
      <c r="B53" s="169"/>
      <c r="C53" s="214"/>
      <c r="D53" s="214"/>
      <c r="E53" s="214"/>
      <c r="F53" s="214"/>
      <c r="G53" s="214"/>
      <c r="H53" s="215"/>
      <c r="I53" s="214"/>
      <c r="J53" s="214"/>
      <c r="K53" s="214"/>
      <c r="L53" s="214"/>
      <c r="M53" s="216"/>
      <c r="N53" s="214"/>
      <c r="O53" s="214"/>
      <c r="P53" s="214"/>
      <c r="Q53" s="214"/>
      <c r="R53" s="214"/>
      <c r="S53" s="216"/>
    </row>
    <row r="54" spans="2:19">
      <c r="B54" s="169"/>
      <c r="C54" s="154"/>
      <c r="D54" s="154"/>
      <c r="E54" s="154"/>
      <c r="F54" s="154"/>
      <c r="G54" s="154"/>
      <c r="H54" s="150"/>
      <c r="I54" s="154"/>
      <c r="J54" s="154"/>
      <c r="K54" s="154"/>
      <c r="L54" s="154"/>
      <c r="M54" s="217"/>
      <c r="N54" s="154"/>
      <c r="O54" s="154"/>
      <c r="P54" s="154"/>
      <c r="Q54" s="214"/>
      <c r="R54" s="154"/>
      <c r="S54" s="217"/>
    </row>
    <row r="55" spans="2:19">
      <c r="Q55" s="214"/>
    </row>
    <row r="56" spans="2:19">
      <c r="B56" s="169"/>
      <c r="C56" s="214"/>
      <c r="D56" s="214"/>
      <c r="E56" s="214"/>
      <c r="F56" s="214"/>
      <c r="G56" s="214"/>
      <c r="H56" s="215"/>
      <c r="I56" s="214"/>
      <c r="J56" s="214"/>
      <c r="K56" s="214"/>
      <c r="L56" s="214"/>
      <c r="M56" s="216"/>
      <c r="N56" s="214"/>
      <c r="O56" s="214"/>
      <c r="P56" s="214"/>
      <c r="Q56" s="154"/>
      <c r="R56" s="214"/>
      <c r="S56" s="216"/>
    </row>
    <row r="57" spans="2:19">
      <c r="C57" s="214"/>
      <c r="D57" s="214"/>
      <c r="E57" s="214"/>
      <c r="F57" s="214"/>
      <c r="G57" s="214"/>
      <c r="H57" s="215"/>
      <c r="I57" s="214"/>
      <c r="J57" s="214"/>
      <c r="K57" s="214"/>
      <c r="L57" s="214"/>
      <c r="M57" s="216"/>
      <c r="N57" s="214"/>
      <c r="O57" s="214"/>
      <c r="P57" s="214"/>
      <c r="R57" s="214"/>
      <c r="S57" s="216"/>
    </row>
    <row r="58" spans="2:19">
      <c r="Q58" s="214"/>
    </row>
    <row r="59" spans="2:19">
      <c r="Q59" s="214"/>
    </row>
    <row r="67" spans="1:17">
      <c r="A67" s="161" t="s">
        <v>185</v>
      </c>
      <c r="B67" s="11" t="s">
        <v>186</v>
      </c>
      <c r="K67" s="69">
        <v>6000</v>
      </c>
    </row>
    <row r="68" spans="1:17">
      <c r="J68" s="69">
        <f>SUM(J57:J67)</f>
        <v>0</v>
      </c>
      <c r="K68" s="69">
        <f>SUM(K57:K67)</f>
        <v>6000</v>
      </c>
    </row>
    <row r="78" spans="1:17">
      <c r="Q78" s="69" t="s">
        <v>187</v>
      </c>
    </row>
  </sheetData>
  <autoFilter ref="B5:Q42" xr:uid="{00000000-0009-0000-0000-000005000000}"/>
  <printOptions horizontalCentered="1" headings="1" gridLines="1"/>
  <pageMargins left="0.25" right="0.25" top="0.75" bottom="0.25" header="0.25" footer="0.25"/>
  <pageSetup scale="53" fitToHeight="4" orientation="landscape" r:id="rId1"/>
  <headerFooter>
    <oddFooter>Page &amp;P of &amp;N</oddFooter>
  </headerFooter>
  <rowBreaks count="1" manualBreakCount="1">
    <brk id="28" max="24" man="1"/>
  </rowBreaks>
  <colBreaks count="1" manualBreakCount="1">
    <brk id="17"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24F5C-A1F7-4489-A6B9-104D0DDCEF97}">
  <sheetPr>
    <tabColor rgb="FF00B050"/>
    <pageSetUpPr fitToPage="1"/>
  </sheetPr>
  <dimension ref="A1:Z149"/>
  <sheetViews>
    <sheetView view="pageBreakPreview" zoomScale="75" zoomScaleNormal="100" zoomScaleSheetLayoutView="75" workbookViewId="0">
      <pane xSplit="10" ySplit="5" topLeftCell="R107" activePane="bottomRight" state="frozen"/>
      <selection activeCell="B23" sqref="B23"/>
      <selection pane="topRight" activeCell="B23" sqref="B23"/>
      <selection pane="bottomLeft" activeCell="B23" sqref="B23"/>
      <selection pane="bottomRight" activeCell="B23" sqref="B23"/>
    </sheetView>
  </sheetViews>
  <sheetFormatPr defaultColWidth="10.625" defaultRowHeight="14.25"/>
  <cols>
    <col min="1" max="1" width="10.625" style="193" customWidth="1"/>
    <col min="2" max="2" width="40.375" style="240" customWidth="1"/>
    <col min="3" max="3" width="15.125" style="241" hidden="1" customWidth="1"/>
    <col min="4" max="4" width="16.125" style="241" hidden="1" customWidth="1"/>
    <col min="5" max="5" width="14.25" style="241" hidden="1" customWidth="1"/>
    <col min="6" max="6" width="14.75" style="241" hidden="1" customWidth="1"/>
    <col min="7" max="7" width="22.5" style="241" hidden="1" customWidth="1"/>
    <col min="8" max="8" width="20.875" style="241" hidden="1" customWidth="1"/>
    <col min="9" max="9" width="20.5" style="241" hidden="1" customWidth="1"/>
    <col min="10" max="10" width="22.5" style="241" customWidth="1"/>
    <col min="11" max="11" width="13.5" style="241" customWidth="1"/>
    <col min="12" max="12" width="12.25" style="241" hidden="1" customWidth="1"/>
    <col min="13" max="13" width="5.5" style="242" customWidth="1"/>
    <col min="14" max="14" width="10.5" style="241" customWidth="1"/>
    <col min="15" max="15" width="10.625" style="241" customWidth="1"/>
    <col min="16" max="16" width="16" style="241" customWidth="1"/>
    <col min="17" max="17" width="51.125" style="241" customWidth="1"/>
    <col min="18" max="18" width="11.625" style="241" customWidth="1"/>
    <col min="19" max="19" width="6.25" style="242" hidden="1" customWidth="1"/>
    <col min="20" max="20" width="16.25" style="240" hidden="1" customWidth="1"/>
    <col min="21" max="21" width="14.3125" style="240" hidden="1" customWidth="1"/>
    <col min="22" max="22" width="17.1875" style="240" hidden="1" customWidth="1"/>
    <col min="23" max="23" width="12.8125" style="240" hidden="1" customWidth="1"/>
    <col min="24" max="24" width="19.875" style="240" hidden="1" customWidth="1"/>
    <col min="25" max="25" width="51.75" style="240" hidden="1" customWidth="1"/>
    <col min="26" max="16384" width="10.625" style="240"/>
  </cols>
  <sheetData>
    <row r="1" spans="1:26" s="141" customFormat="1" ht="15.75">
      <c r="A1" s="1" t="s">
        <v>0</v>
      </c>
      <c r="C1" s="136"/>
      <c r="D1" s="136"/>
      <c r="E1" s="136"/>
      <c r="F1" s="136"/>
      <c r="G1" s="137"/>
      <c r="H1" s="137"/>
      <c r="I1" s="136"/>
      <c r="J1" s="136"/>
      <c r="K1" s="136"/>
      <c r="L1" s="136"/>
      <c r="M1" s="139"/>
      <c r="N1" s="140"/>
      <c r="O1" s="140"/>
      <c r="P1" s="144"/>
      <c r="Q1" s="142" t="s">
        <v>1</v>
      </c>
      <c r="R1" s="144"/>
      <c r="S1" s="140"/>
      <c r="X1" s="144"/>
      <c r="Y1" s="142" t="s">
        <v>1</v>
      </c>
    </row>
    <row r="2" spans="1:26" s="141" customFormat="1" ht="15.75">
      <c r="A2" s="10" t="s">
        <v>1123</v>
      </c>
      <c r="B2" s="144"/>
      <c r="C2" s="144"/>
      <c r="D2" s="144"/>
      <c r="E2" s="144"/>
      <c r="F2" s="144"/>
      <c r="G2" s="137"/>
      <c r="H2" s="137"/>
      <c r="I2" s="144"/>
      <c r="J2" s="144"/>
      <c r="K2" s="144"/>
      <c r="L2" s="144"/>
      <c r="M2" s="140"/>
      <c r="N2" s="140"/>
      <c r="O2" s="140"/>
      <c r="P2" s="144"/>
      <c r="Q2" s="145" t="s">
        <v>2</v>
      </c>
      <c r="R2" s="144"/>
      <c r="S2" s="140"/>
      <c r="X2" s="144"/>
      <c r="Y2" s="705"/>
    </row>
    <row r="3" spans="1:26" s="220" customFormat="1" ht="15.75">
      <c r="A3" s="10" t="s">
        <v>188</v>
      </c>
      <c r="B3" s="147"/>
      <c r="C3" s="147"/>
      <c r="D3" s="147"/>
      <c r="E3" s="147"/>
      <c r="F3" s="147"/>
      <c r="G3" s="137"/>
      <c r="H3" s="137"/>
      <c r="I3" s="147"/>
      <c r="J3" s="147"/>
      <c r="K3" s="147"/>
      <c r="L3" s="147"/>
      <c r="M3" s="218"/>
      <c r="N3" s="147"/>
      <c r="O3" s="147"/>
      <c r="P3" s="147"/>
      <c r="Q3" s="706"/>
      <c r="R3" s="147"/>
      <c r="S3" s="218"/>
      <c r="Y3" s="706"/>
      <c r="Z3" s="219" t="s">
        <v>4</v>
      </c>
    </row>
    <row r="4" spans="1:26" s="222" customFormat="1" ht="14.65" thickBot="1">
      <c r="A4" s="221"/>
      <c r="C4" s="223"/>
      <c r="D4" s="223"/>
      <c r="E4" s="223"/>
      <c r="F4" s="223"/>
      <c r="G4" s="223"/>
      <c r="H4" s="223"/>
      <c r="I4" s="223"/>
      <c r="J4" s="223"/>
      <c r="K4" s="223"/>
      <c r="L4" s="223"/>
      <c r="M4" s="224"/>
      <c r="N4" s="223"/>
      <c r="O4" s="223"/>
      <c r="P4" s="223"/>
      <c r="Q4" s="225"/>
      <c r="R4" s="223"/>
      <c r="S4" s="224"/>
    </row>
    <row r="5" spans="1:26" s="154" customFormat="1" ht="63.4" thickBot="1">
      <c r="A5" s="226" t="s">
        <v>5</v>
      </c>
      <c r="B5" s="227" t="s">
        <v>6</v>
      </c>
      <c r="C5" s="228" t="s">
        <v>7</v>
      </c>
      <c r="D5" s="229" t="s">
        <v>8</v>
      </c>
      <c r="E5" s="155" t="s">
        <v>9</v>
      </c>
      <c r="F5" s="155" t="s">
        <v>10</v>
      </c>
      <c r="G5" s="155" t="s">
        <v>11</v>
      </c>
      <c r="H5" s="155" t="s">
        <v>12</v>
      </c>
      <c r="I5" s="230" t="s">
        <v>135</v>
      </c>
      <c r="J5" s="230" t="s">
        <v>136</v>
      </c>
      <c r="K5" s="230" t="s">
        <v>15</v>
      </c>
      <c r="L5" s="230" t="s">
        <v>16</v>
      </c>
      <c r="M5" s="231"/>
      <c r="N5" s="232" t="s">
        <v>17</v>
      </c>
      <c r="O5" s="232" t="s">
        <v>18</v>
      </c>
      <c r="P5" s="232" t="s">
        <v>19</v>
      </c>
      <c r="Q5" s="232" t="s">
        <v>137</v>
      </c>
      <c r="R5" s="232" t="s">
        <v>19</v>
      </c>
      <c r="S5" s="233"/>
      <c r="T5" s="234" t="s">
        <v>138</v>
      </c>
      <c r="U5" s="234" t="s">
        <v>139</v>
      </c>
      <c r="V5" s="234" t="s">
        <v>23</v>
      </c>
      <c r="W5" s="234" t="s">
        <v>24</v>
      </c>
      <c r="X5" s="234" t="s">
        <v>25</v>
      </c>
      <c r="Y5" s="159" t="s">
        <v>26</v>
      </c>
    </row>
    <row r="6" spans="1:26">
      <c r="A6" s="235">
        <f>EvngelismTotal+1</f>
        <v>66</v>
      </c>
      <c r="B6" s="236" t="s">
        <v>189</v>
      </c>
      <c r="C6" s="50"/>
      <c r="D6" s="50"/>
      <c r="E6" s="50"/>
      <c r="F6" s="50"/>
      <c r="G6" s="50"/>
      <c r="H6" s="50"/>
      <c r="I6" s="50"/>
      <c r="J6" s="50"/>
      <c r="K6" s="50"/>
      <c r="L6" s="50"/>
      <c r="M6" s="237"/>
      <c r="N6" s="59"/>
      <c r="O6" s="59"/>
      <c r="P6" s="59"/>
      <c r="Q6" s="59"/>
      <c r="R6" s="59"/>
      <c r="S6" s="237"/>
      <c r="T6" s="238"/>
      <c r="U6" s="238"/>
      <c r="V6" s="238"/>
      <c r="W6" s="238"/>
      <c r="X6" s="238"/>
      <c r="Y6" s="239"/>
    </row>
    <row r="7" spans="1:26">
      <c r="A7" s="193">
        <f>A6+1</f>
        <v>67</v>
      </c>
      <c r="C7" s="50">
        <v>0</v>
      </c>
      <c r="D7" s="50"/>
      <c r="E7" s="50"/>
      <c r="F7" s="50"/>
      <c r="G7" s="50"/>
      <c r="H7" s="50"/>
      <c r="I7" s="50"/>
      <c r="J7" s="50"/>
      <c r="K7" s="50"/>
      <c r="L7" s="50"/>
      <c r="M7" s="237"/>
      <c r="N7" s="59"/>
      <c r="O7" s="59"/>
      <c r="P7" s="59"/>
      <c r="Q7" s="59"/>
      <c r="R7" s="59"/>
      <c r="S7" s="237"/>
      <c r="T7" s="238"/>
      <c r="U7" s="238"/>
      <c r="V7" s="238"/>
      <c r="W7" s="238"/>
      <c r="X7" s="238"/>
      <c r="Y7" s="239"/>
    </row>
    <row r="8" spans="1:26">
      <c r="A8" s="193">
        <f t="shared" ref="A8:A70" si="0">A7+1</f>
        <v>68</v>
      </c>
      <c r="B8" s="240" t="s">
        <v>153</v>
      </c>
      <c r="N8" s="243"/>
      <c r="O8" s="243"/>
      <c r="P8" s="243">
        <f t="shared" ref="P8:P72" si="1">N8+O8</f>
        <v>0</v>
      </c>
      <c r="Q8" s="243"/>
      <c r="R8" s="243">
        <f>P8</f>
        <v>0</v>
      </c>
      <c r="T8" s="238"/>
      <c r="U8" s="238"/>
      <c r="V8" s="238"/>
      <c r="W8" s="53">
        <f t="shared" ref="W8:W23" si="2">U8+V8</f>
        <v>0</v>
      </c>
      <c r="X8" s="53">
        <f>T8+W8</f>
        <v>0</v>
      </c>
      <c r="Y8" s="239"/>
    </row>
    <row r="9" spans="1:26">
      <c r="A9" s="193">
        <f t="shared" si="0"/>
        <v>69</v>
      </c>
      <c r="B9" s="240" t="s">
        <v>153</v>
      </c>
      <c r="C9" s="50">
        <v>64000</v>
      </c>
      <c r="D9" s="50">
        <v>0</v>
      </c>
      <c r="E9" s="50"/>
      <c r="F9" s="50"/>
      <c r="G9" s="50"/>
      <c r="H9" s="50"/>
      <c r="I9" s="50"/>
      <c r="J9" s="50"/>
      <c r="K9" s="50"/>
      <c r="L9" s="50">
        <f>E9+G9+K9</f>
        <v>0</v>
      </c>
      <c r="M9" s="237"/>
      <c r="N9" s="59"/>
      <c r="O9" s="59"/>
      <c r="P9" s="59">
        <f t="shared" si="1"/>
        <v>0</v>
      </c>
      <c r="Q9" s="59"/>
      <c r="R9" s="243">
        <f t="shared" ref="R9:R72" si="3">P9</f>
        <v>0</v>
      </c>
      <c r="S9" s="237"/>
      <c r="T9" s="238"/>
      <c r="U9" s="238"/>
      <c r="V9" s="238"/>
      <c r="W9" s="53">
        <f t="shared" si="2"/>
        <v>0</v>
      </c>
      <c r="X9" s="53">
        <f t="shared" ref="X9:X23" si="4">T9+W9</f>
        <v>0</v>
      </c>
      <c r="Y9" s="239"/>
    </row>
    <row r="10" spans="1:26" ht="28.15" customHeight="1">
      <c r="A10" s="193">
        <f t="shared" si="0"/>
        <v>70</v>
      </c>
      <c r="B10" s="194" t="s">
        <v>190</v>
      </c>
      <c r="C10" s="50">
        <v>120000</v>
      </c>
      <c r="D10" s="50">
        <v>90000</v>
      </c>
      <c r="E10" s="50">
        <v>5538</v>
      </c>
      <c r="F10" s="50">
        <v>30000</v>
      </c>
      <c r="G10" s="50">
        <v>12000</v>
      </c>
      <c r="H10" s="50" t="s">
        <v>191</v>
      </c>
      <c r="I10" s="50">
        <v>2000</v>
      </c>
      <c r="J10" s="50">
        <v>33000</v>
      </c>
      <c r="K10" s="50">
        <f>J10</f>
        <v>33000</v>
      </c>
      <c r="L10" s="50">
        <f>E10+G10+K10</f>
        <v>50538</v>
      </c>
      <c r="M10" s="237"/>
      <c r="N10" s="59">
        <v>2000</v>
      </c>
      <c r="O10" s="59">
        <v>15000</v>
      </c>
      <c r="P10" s="59">
        <f t="shared" si="1"/>
        <v>17000</v>
      </c>
      <c r="Q10" s="59" t="s">
        <v>192</v>
      </c>
      <c r="R10" s="243">
        <f t="shared" si="3"/>
        <v>17000</v>
      </c>
      <c r="S10" s="237"/>
      <c r="T10" s="238">
        <v>17000</v>
      </c>
      <c r="U10" s="238"/>
      <c r="V10" s="238">
        <v>17000</v>
      </c>
      <c r="W10" s="53">
        <f t="shared" si="2"/>
        <v>17000</v>
      </c>
      <c r="X10" s="53">
        <f t="shared" si="4"/>
        <v>34000</v>
      </c>
      <c r="Y10" s="239" t="s">
        <v>192</v>
      </c>
    </row>
    <row r="11" spans="1:26" ht="27.4" customHeight="1">
      <c r="A11" s="193">
        <f t="shared" si="0"/>
        <v>71</v>
      </c>
      <c r="B11" s="240" t="s">
        <v>193</v>
      </c>
      <c r="C11" s="50">
        <v>125000</v>
      </c>
      <c r="D11" s="50"/>
      <c r="E11" s="50"/>
      <c r="F11" s="50"/>
      <c r="G11" s="50"/>
      <c r="H11" s="50"/>
      <c r="I11" s="50"/>
      <c r="J11" s="50"/>
      <c r="K11" s="50">
        <f t="shared" ref="K11:K23" si="5">J11</f>
        <v>0</v>
      </c>
      <c r="L11" s="50"/>
      <c r="M11" s="237"/>
      <c r="N11" s="59"/>
      <c r="O11" s="59"/>
      <c r="P11" s="59">
        <f t="shared" si="1"/>
        <v>0</v>
      </c>
      <c r="Q11" s="59"/>
      <c r="R11" s="243">
        <f t="shared" si="3"/>
        <v>0</v>
      </c>
      <c r="S11" s="237"/>
      <c r="T11" s="238"/>
      <c r="U11" s="238"/>
      <c r="V11" s="238"/>
      <c r="W11" s="53">
        <f t="shared" si="2"/>
        <v>0</v>
      </c>
      <c r="X11" s="53">
        <f t="shared" si="4"/>
        <v>0</v>
      </c>
      <c r="Y11" s="239"/>
    </row>
    <row r="12" spans="1:26" ht="27.4" customHeight="1">
      <c r="A12" s="193">
        <f t="shared" si="0"/>
        <v>72</v>
      </c>
      <c r="B12" s="244" t="s">
        <v>194</v>
      </c>
      <c r="C12" s="50">
        <v>200000</v>
      </c>
      <c r="D12" s="50">
        <v>180000</v>
      </c>
      <c r="E12" s="50">
        <v>62312</v>
      </c>
      <c r="F12" s="50">
        <v>60000</v>
      </c>
      <c r="G12" s="50">
        <v>60000</v>
      </c>
      <c r="H12" s="50" t="s">
        <v>195</v>
      </c>
      <c r="I12" s="50"/>
      <c r="J12" s="50">
        <v>120000</v>
      </c>
      <c r="K12" s="50">
        <f t="shared" si="5"/>
        <v>120000</v>
      </c>
      <c r="L12" s="50">
        <f>E12+G12+K12</f>
        <v>242312</v>
      </c>
      <c r="M12" s="237"/>
      <c r="N12" s="59"/>
      <c r="O12" s="59">
        <v>50000</v>
      </c>
      <c r="P12" s="59">
        <f t="shared" si="1"/>
        <v>50000</v>
      </c>
      <c r="Q12" s="243" t="s">
        <v>196</v>
      </c>
      <c r="R12" s="243">
        <f t="shared" si="3"/>
        <v>50000</v>
      </c>
      <c r="S12" s="237"/>
      <c r="T12" s="238">
        <v>50000</v>
      </c>
      <c r="U12" s="238"/>
      <c r="V12" s="238">
        <v>50000</v>
      </c>
      <c r="W12" s="53">
        <f t="shared" si="2"/>
        <v>50000</v>
      </c>
      <c r="X12" s="53">
        <f t="shared" si="4"/>
        <v>100000</v>
      </c>
      <c r="Y12" s="239" t="s">
        <v>197</v>
      </c>
    </row>
    <row r="13" spans="1:26" ht="27.4" customHeight="1">
      <c r="A13" s="193">
        <v>80</v>
      </c>
      <c r="B13" s="244" t="s">
        <v>198</v>
      </c>
      <c r="C13" s="241">
        <v>30000</v>
      </c>
      <c r="D13" s="50">
        <v>40000</v>
      </c>
      <c r="E13" s="50">
        <f>7737+8230+264</f>
        <v>16231</v>
      </c>
      <c r="F13" s="50">
        <v>12500</v>
      </c>
      <c r="G13" s="50">
        <v>5000</v>
      </c>
      <c r="H13" s="50" t="s">
        <v>199</v>
      </c>
      <c r="I13" s="50">
        <v>0</v>
      </c>
      <c r="J13" s="50">
        <v>5000</v>
      </c>
      <c r="K13" s="50">
        <f t="shared" si="5"/>
        <v>5000</v>
      </c>
      <c r="L13" s="50">
        <f>E13+G13+K13</f>
        <v>26231</v>
      </c>
      <c r="M13" s="237"/>
      <c r="N13" s="59">
        <v>0</v>
      </c>
      <c r="O13" s="59">
        <v>15000</v>
      </c>
      <c r="P13" s="59">
        <f t="shared" si="1"/>
        <v>15000</v>
      </c>
      <c r="Q13" s="243"/>
      <c r="R13" s="243">
        <f t="shared" si="3"/>
        <v>15000</v>
      </c>
      <c r="S13" s="237"/>
      <c r="T13" s="238">
        <v>15000</v>
      </c>
      <c r="U13" s="238"/>
      <c r="V13" s="238">
        <v>15000</v>
      </c>
      <c r="W13" s="53">
        <f t="shared" si="2"/>
        <v>15000</v>
      </c>
      <c r="X13" s="53">
        <f t="shared" si="4"/>
        <v>30000</v>
      </c>
      <c r="Y13" s="239"/>
    </row>
    <row r="14" spans="1:26">
      <c r="A14" s="193">
        <v>73</v>
      </c>
      <c r="B14" s="194" t="s">
        <v>153</v>
      </c>
      <c r="C14" s="50">
        <v>0</v>
      </c>
      <c r="D14" s="50">
        <v>0</v>
      </c>
      <c r="E14" s="50"/>
      <c r="F14" s="50"/>
      <c r="G14" s="50"/>
      <c r="H14" s="50"/>
      <c r="I14" s="50"/>
      <c r="J14" s="50"/>
      <c r="K14" s="50">
        <f t="shared" si="5"/>
        <v>0</v>
      </c>
      <c r="L14" s="50"/>
      <c r="M14" s="237"/>
      <c r="N14" s="59"/>
      <c r="O14" s="59"/>
      <c r="P14" s="59">
        <f t="shared" si="1"/>
        <v>0</v>
      </c>
      <c r="Q14" s="59"/>
      <c r="R14" s="243">
        <f t="shared" si="3"/>
        <v>0</v>
      </c>
      <c r="S14" s="237"/>
      <c r="T14" s="238"/>
      <c r="U14" s="238"/>
      <c r="V14" s="238"/>
      <c r="W14" s="53">
        <f t="shared" si="2"/>
        <v>0</v>
      </c>
      <c r="X14" s="53">
        <f t="shared" si="4"/>
        <v>0</v>
      </c>
      <c r="Y14" s="239"/>
    </row>
    <row r="15" spans="1:26" ht="18.95" customHeight="1">
      <c r="A15" s="193">
        <f t="shared" si="0"/>
        <v>74</v>
      </c>
      <c r="B15" s="194" t="s">
        <v>200</v>
      </c>
      <c r="C15" s="50">
        <v>60000</v>
      </c>
      <c r="D15" s="50">
        <v>80000</v>
      </c>
      <c r="E15" s="50"/>
      <c r="F15" s="50">
        <v>38000</v>
      </c>
      <c r="G15" s="50">
        <v>20000</v>
      </c>
      <c r="H15" s="50" t="s">
        <v>201</v>
      </c>
      <c r="I15" s="50">
        <v>5000</v>
      </c>
      <c r="J15" s="50">
        <v>20000</v>
      </c>
      <c r="K15" s="50">
        <f t="shared" si="5"/>
        <v>20000</v>
      </c>
      <c r="L15" s="50">
        <f>E15+G15+K15</f>
        <v>40000</v>
      </c>
      <c r="M15" s="237"/>
      <c r="N15" s="59">
        <v>5000</v>
      </c>
      <c r="O15" s="59">
        <v>20000</v>
      </c>
      <c r="P15" s="59">
        <f t="shared" si="1"/>
        <v>25000</v>
      </c>
      <c r="Q15" s="59"/>
      <c r="R15" s="243">
        <f t="shared" si="3"/>
        <v>25000</v>
      </c>
      <c r="S15" s="237"/>
      <c r="T15" s="238">
        <v>25000</v>
      </c>
      <c r="U15" s="238">
        <v>7000</v>
      </c>
      <c r="V15" s="238">
        <v>25000</v>
      </c>
      <c r="W15" s="53">
        <f t="shared" si="2"/>
        <v>32000</v>
      </c>
      <c r="X15" s="53">
        <f t="shared" si="4"/>
        <v>57000</v>
      </c>
      <c r="Y15" s="239" t="s">
        <v>202</v>
      </c>
    </row>
    <row r="16" spans="1:26" s="236" customFormat="1">
      <c r="A16" s="193">
        <f t="shared" si="0"/>
        <v>75</v>
      </c>
      <c r="B16" s="245"/>
      <c r="C16" s="246"/>
      <c r="D16" s="246"/>
      <c r="E16" s="246"/>
      <c r="F16" s="246"/>
      <c r="G16" s="246"/>
      <c r="H16" s="246"/>
      <c r="I16" s="246"/>
      <c r="J16" s="246"/>
      <c r="K16" s="50">
        <f t="shared" si="5"/>
        <v>0</v>
      </c>
      <c r="L16" s="50"/>
      <c r="M16" s="237"/>
      <c r="N16" s="247"/>
      <c r="O16" s="59"/>
      <c r="P16" s="59">
        <f t="shared" si="1"/>
        <v>0</v>
      </c>
      <c r="Q16" s="247"/>
      <c r="R16" s="243">
        <f t="shared" si="3"/>
        <v>0</v>
      </c>
      <c r="S16" s="237"/>
      <c r="T16" s="248"/>
      <c r="U16" s="248"/>
      <c r="V16" s="248"/>
      <c r="W16" s="53">
        <f t="shared" si="2"/>
        <v>0</v>
      </c>
      <c r="X16" s="53">
        <f t="shared" si="4"/>
        <v>0</v>
      </c>
      <c r="Y16" s="249"/>
    </row>
    <row r="17" spans="1:25">
      <c r="A17" s="193">
        <f t="shared" si="0"/>
        <v>76</v>
      </c>
      <c r="B17" s="194"/>
      <c r="K17" s="50">
        <f t="shared" si="5"/>
        <v>0</v>
      </c>
      <c r="L17" s="50"/>
      <c r="M17" s="237"/>
      <c r="N17" s="243"/>
      <c r="O17" s="59"/>
      <c r="P17" s="59">
        <f t="shared" si="1"/>
        <v>0</v>
      </c>
      <c r="Q17" s="243"/>
      <c r="R17" s="243">
        <f t="shared" si="3"/>
        <v>0</v>
      </c>
      <c r="S17" s="237"/>
      <c r="T17" s="238"/>
      <c r="U17" s="238"/>
      <c r="V17" s="238"/>
      <c r="W17" s="53">
        <f t="shared" si="2"/>
        <v>0</v>
      </c>
      <c r="X17" s="53">
        <f t="shared" si="4"/>
        <v>0</v>
      </c>
      <c r="Y17" s="239"/>
    </row>
    <row r="18" spans="1:25">
      <c r="A18" s="193">
        <f t="shared" si="0"/>
        <v>77</v>
      </c>
      <c r="B18" s="194" t="s">
        <v>153</v>
      </c>
      <c r="K18" s="50">
        <f t="shared" si="5"/>
        <v>0</v>
      </c>
      <c r="L18" s="50"/>
      <c r="M18" s="237"/>
      <c r="N18" s="243"/>
      <c r="O18" s="59"/>
      <c r="P18" s="59">
        <f t="shared" si="1"/>
        <v>0</v>
      </c>
      <c r="Q18" s="243"/>
      <c r="R18" s="243">
        <f t="shared" si="3"/>
        <v>0</v>
      </c>
      <c r="S18" s="237"/>
      <c r="T18" s="238"/>
      <c r="U18" s="238"/>
      <c r="V18" s="238"/>
      <c r="W18" s="53">
        <f t="shared" si="2"/>
        <v>0</v>
      </c>
      <c r="X18" s="53">
        <f t="shared" si="4"/>
        <v>0</v>
      </c>
      <c r="Y18" s="239"/>
    </row>
    <row r="19" spans="1:25" ht="28.5">
      <c r="A19" s="193">
        <f t="shared" si="0"/>
        <v>78</v>
      </c>
      <c r="B19" s="244" t="s">
        <v>203</v>
      </c>
      <c r="C19" s="50">
        <v>150000</v>
      </c>
      <c r="D19" s="50">
        <v>50000</v>
      </c>
      <c r="E19" s="50">
        <f>4012+2081</f>
        <v>6093</v>
      </c>
      <c r="F19" s="50">
        <v>20000</v>
      </c>
      <c r="G19" s="50">
        <v>20000</v>
      </c>
      <c r="H19" s="50" t="s">
        <v>204</v>
      </c>
      <c r="I19" s="50"/>
      <c r="J19" s="50">
        <v>13000</v>
      </c>
      <c r="K19" s="50">
        <f t="shared" si="5"/>
        <v>13000</v>
      </c>
      <c r="L19" s="50">
        <f>E19+G19+K19</f>
        <v>39093</v>
      </c>
      <c r="M19" s="237"/>
      <c r="N19" s="59"/>
      <c r="O19" s="59">
        <v>15000</v>
      </c>
      <c r="P19" s="59">
        <f t="shared" si="1"/>
        <v>15000</v>
      </c>
      <c r="Q19" s="59" t="s">
        <v>205</v>
      </c>
      <c r="R19" s="243">
        <f t="shared" si="3"/>
        <v>15000</v>
      </c>
      <c r="S19" s="237"/>
      <c r="T19" s="238">
        <v>20000</v>
      </c>
      <c r="U19" s="238"/>
      <c r="V19" s="238">
        <v>20000</v>
      </c>
      <c r="W19" s="53">
        <f t="shared" si="2"/>
        <v>20000</v>
      </c>
      <c r="X19" s="53">
        <f t="shared" si="4"/>
        <v>40000</v>
      </c>
      <c r="Y19" s="239" t="s">
        <v>206</v>
      </c>
    </row>
    <row r="20" spans="1:25">
      <c r="A20" s="193">
        <f t="shared" si="0"/>
        <v>79</v>
      </c>
      <c r="B20" s="194" t="s">
        <v>153</v>
      </c>
      <c r="C20" s="241">
        <v>60000</v>
      </c>
      <c r="D20" s="50">
        <v>25000</v>
      </c>
      <c r="E20" s="50">
        <v>0</v>
      </c>
      <c r="F20" s="50">
        <v>12500</v>
      </c>
      <c r="G20" s="50">
        <v>0</v>
      </c>
      <c r="H20" s="50"/>
      <c r="I20" s="50"/>
      <c r="J20" s="50">
        <v>12500</v>
      </c>
      <c r="K20" s="50">
        <f t="shared" si="5"/>
        <v>12500</v>
      </c>
      <c r="L20" s="50"/>
      <c r="M20" s="237"/>
      <c r="N20" s="59"/>
      <c r="O20" s="59"/>
      <c r="P20" s="59">
        <f t="shared" si="1"/>
        <v>0</v>
      </c>
      <c r="Q20" s="250"/>
      <c r="R20" s="243">
        <f t="shared" si="3"/>
        <v>0</v>
      </c>
      <c r="S20" s="237"/>
      <c r="T20" s="238"/>
      <c r="U20" s="238"/>
      <c r="V20" s="238"/>
      <c r="W20" s="53">
        <f t="shared" si="2"/>
        <v>0</v>
      </c>
      <c r="X20" s="53">
        <f t="shared" si="4"/>
        <v>0</v>
      </c>
      <c r="Y20" s="239"/>
    </row>
    <row r="21" spans="1:25">
      <c r="A21" s="193">
        <v>80</v>
      </c>
      <c r="B21" s="194"/>
      <c r="K21" s="50">
        <f t="shared" si="5"/>
        <v>0</v>
      </c>
      <c r="L21" s="50"/>
      <c r="M21" s="237"/>
      <c r="N21" s="243"/>
      <c r="O21" s="59"/>
      <c r="P21" s="59">
        <f t="shared" si="1"/>
        <v>0</v>
      </c>
      <c r="Q21" s="243"/>
      <c r="R21" s="243">
        <f t="shared" si="3"/>
        <v>0</v>
      </c>
      <c r="S21" s="237"/>
      <c r="T21" s="238"/>
      <c r="U21" s="238"/>
      <c r="V21" s="238"/>
      <c r="W21" s="53">
        <f t="shared" si="2"/>
        <v>0</v>
      </c>
      <c r="X21" s="53">
        <f t="shared" si="4"/>
        <v>0</v>
      </c>
      <c r="Y21" s="239"/>
    </row>
    <row r="22" spans="1:25">
      <c r="A22" s="193" t="s">
        <v>207</v>
      </c>
      <c r="B22" s="194" t="s">
        <v>179</v>
      </c>
      <c r="K22" s="50">
        <f>I24</f>
        <v>7000</v>
      </c>
      <c r="L22" s="50">
        <f>E22+G22+K22</f>
        <v>7000</v>
      </c>
      <c r="M22" s="237"/>
      <c r="N22" s="243"/>
      <c r="O22" s="59"/>
      <c r="P22" s="59">
        <f t="shared" si="1"/>
        <v>0</v>
      </c>
      <c r="Q22" s="243"/>
      <c r="R22" s="243">
        <f t="shared" si="3"/>
        <v>0</v>
      </c>
      <c r="S22" s="237"/>
      <c r="T22" s="238"/>
      <c r="U22" s="238"/>
      <c r="V22" s="238"/>
      <c r="W22" s="53">
        <f t="shared" si="2"/>
        <v>0</v>
      </c>
      <c r="X22" s="53">
        <f t="shared" si="4"/>
        <v>0</v>
      </c>
      <c r="Y22" s="239"/>
    </row>
    <row r="23" spans="1:25">
      <c r="A23" s="193">
        <f>A13+1</f>
        <v>81</v>
      </c>
      <c r="B23" s="251" t="s">
        <v>208</v>
      </c>
      <c r="C23" s="241">
        <v>30000</v>
      </c>
      <c r="D23" s="50">
        <v>0</v>
      </c>
      <c r="E23" s="50"/>
      <c r="F23" s="50"/>
      <c r="G23" s="50"/>
      <c r="H23" s="50"/>
      <c r="I23" s="50"/>
      <c r="J23" s="50"/>
      <c r="K23" s="50">
        <f t="shared" si="5"/>
        <v>0</v>
      </c>
      <c r="L23" s="50"/>
      <c r="M23" s="237"/>
      <c r="N23" s="59"/>
      <c r="O23" s="59"/>
      <c r="P23" s="59">
        <f t="shared" si="1"/>
        <v>0</v>
      </c>
      <c r="Q23" s="243"/>
      <c r="R23" s="243">
        <f t="shared" si="3"/>
        <v>0</v>
      </c>
      <c r="S23" s="237"/>
      <c r="T23" s="238"/>
      <c r="U23" s="238"/>
      <c r="V23" s="238"/>
      <c r="W23" s="53">
        <f t="shared" si="2"/>
        <v>0</v>
      </c>
      <c r="X23" s="53">
        <f t="shared" si="4"/>
        <v>0</v>
      </c>
      <c r="Y23" s="239"/>
    </row>
    <row r="24" spans="1:25">
      <c r="A24" s="252">
        <f t="shared" si="0"/>
        <v>82</v>
      </c>
      <c r="B24" s="253" t="s">
        <v>209</v>
      </c>
      <c r="C24" s="254">
        <f>SUM(C6:C23)</f>
        <v>839000</v>
      </c>
      <c r="D24" s="254">
        <f t="shared" ref="D24:K24" si="6">SUM(D9:D23)</f>
        <v>465000</v>
      </c>
      <c r="E24" s="254">
        <f t="shared" si="6"/>
        <v>90174</v>
      </c>
      <c r="F24" s="254">
        <f t="shared" si="6"/>
        <v>173000</v>
      </c>
      <c r="G24" s="254">
        <f t="shared" si="6"/>
        <v>117000</v>
      </c>
      <c r="H24" s="254">
        <f t="shared" si="6"/>
        <v>0</v>
      </c>
      <c r="I24" s="254">
        <f t="shared" si="6"/>
        <v>7000</v>
      </c>
      <c r="J24" s="254">
        <f t="shared" si="6"/>
        <v>203500</v>
      </c>
      <c r="K24" s="254">
        <f t="shared" si="6"/>
        <v>210500</v>
      </c>
      <c r="L24" s="254">
        <f t="shared" ref="L24:L34" si="7">E24+G24+K24</f>
        <v>417674</v>
      </c>
      <c r="M24" s="255"/>
      <c r="N24" s="256">
        <f t="shared" ref="N24:P24" si="8">SUM(N9:N23)</f>
        <v>7000</v>
      </c>
      <c r="O24" s="256">
        <f t="shared" si="8"/>
        <v>115000</v>
      </c>
      <c r="P24" s="256">
        <f t="shared" si="8"/>
        <v>122000</v>
      </c>
      <c r="Q24" s="256"/>
      <c r="R24" s="256">
        <f t="shared" si="3"/>
        <v>122000</v>
      </c>
      <c r="S24" s="255"/>
      <c r="T24" s="257">
        <f t="shared" ref="T24:X24" si="9">SUM(T9:T23)</f>
        <v>127000</v>
      </c>
      <c r="U24" s="257">
        <f t="shared" si="9"/>
        <v>7000</v>
      </c>
      <c r="V24" s="257">
        <f t="shared" si="9"/>
        <v>127000</v>
      </c>
      <c r="W24" s="257">
        <f t="shared" si="9"/>
        <v>134000</v>
      </c>
      <c r="X24" s="257">
        <f t="shared" si="9"/>
        <v>261000</v>
      </c>
      <c r="Y24" s="257"/>
    </row>
    <row r="25" spans="1:25" s="236" customFormat="1">
      <c r="A25" s="193">
        <f t="shared" si="0"/>
        <v>83</v>
      </c>
      <c r="B25" s="194"/>
      <c r="C25" s="50"/>
      <c r="D25" s="50"/>
      <c r="E25" s="50"/>
      <c r="F25" s="50"/>
      <c r="G25" s="50"/>
      <c r="H25" s="50"/>
      <c r="I25" s="50"/>
      <c r="J25" s="50"/>
      <c r="K25" s="50"/>
      <c r="L25" s="56">
        <f t="shared" si="7"/>
        <v>0</v>
      </c>
      <c r="M25" s="237"/>
      <c r="N25" s="59"/>
      <c r="O25" s="59"/>
      <c r="P25" s="59">
        <f t="shared" si="1"/>
        <v>0</v>
      </c>
      <c r="Q25" s="59"/>
      <c r="R25" s="59">
        <f t="shared" si="3"/>
        <v>0</v>
      </c>
      <c r="S25" s="237"/>
      <c r="T25" s="248"/>
      <c r="U25" s="248"/>
      <c r="V25" s="248"/>
      <c r="W25" s="248"/>
      <c r="X25" s="248"/>
      <c r="Y25" s="248"/>
    </row>
    <row r="26" spans="1:25" ht="31.5" customHeight="1">
      <c r="A26" s="193">
        <v>84</v>
      </c>
      <c r="B26" s="194" t="s">
        <v>210</v>
      </c>
      <c r="C26" s="56">
        <v>2000000</v>
      </c>
      <c r="D26" s="56">
        <v>750000</v>
      </c>
      <c r="E26" s="56">
        <v>238345</v>
      </c>
      <c r="F26" s="56">
        <v>200000</v>
      </c>
      <c r="G26" s="56">
        <v>300000</v>
      </c>
      <c r="H26" s="258" t="s">
        <v>211</v>
      </c>
      <c r="I26" s="56"/>
      <c r="J26" s="56">
        <v>150000</v>
      </c>
      <c r="K26" s="56">
        <f>J26</f>
        <v>150000</v>
      </c>
      <c r="L26" s="56">
        <f t="shared" si="7"/>
        <v>688345</v>
      </c>
      <c r="M26" s="259"/>
      <c r="N26" s="260"/>
      <c r="O26" s="260">
        <v>100000</v>
      </c>
      <c r="P26" s="260">
        <f t="shared" si="1"/>
        <v>100000</v>
      </c>
      <c r="Q26" s="260" t="s">
        <v>212</v>
      </c>
      <c r="R26" s="260">
        <f t="shared" si="3"/>
        <v>100000</v>
      </c>
      <c r="S26" s="259"/>
      <c r="T26" s="238"/>
      <c r="U26" s="238"/>
      <c r="V26" s="238"/>
      <c r="W26" s="53">
        <f t="shared" ref="W26:W44" si="10">U26+V26</f>
        <v>0</v>
      </c>
      <c r="X26" s="53">
        <f t="shared" ref="X26:X44" si="11">T26+W26</f>
        <v>0</v>
      </c>
      <c r="Y26" s="733" t="s">
        <v>1115</v>
      </c>
    </row>
    <row r="27" spans="1:25">
      <c r="A27" s="193">
        <v>85</v>
      </c>
      <c r="B27" s="261" t="s">
        <v>213</v>
      </c>
      <c r="C27" s="56"/>
      <c r="D27" s="56"/>
      <c r="E27" s="56"/>
      <c r="F27" s="56"/>
      <c r="G27" s="56"/>
      <c r="H27" s="56"/>
      <c r="I27" s="56"/>
      <c r="J27" s="56"/>
      <c r="K27" s="56">
        <f t="shared" ref="K27:K44" si="12">J27</f>
        <v>0</v>
      </c>
      <c r="L27" s="56">
        <f t="shared" si="7"/>
        <v>0</v>
      </c>
      <c r="M27" s="259"/>
      <c r="N27" s="260"/>
      <c r="O27" s="260">
        <f>250000-250000</f>
        <v>0</v>
      </c>
      <c r="P27" s="260">
        <f t="shared" si="1"/>
        <v>0</v>
      </c>
      <c r="Q27" s="260"/>
      <c r="R27" s="260">
        <f t="shared" si="3"/>
        <v>0</v>
      </c>
      <c r="S27" s="259"/>
      <c r="T27" s="238">
        <v>200000</v>
      </c>
      <c r="U27" s="238"/>
      <c r="V27" s="238">
        <v>200000</v>
      </c>
      <c r="W27" s="53">
        <f t="shared" si="10"/>
        <v>200000</v>
      </c>
      <c r="X27" s="53">
        <f t="shared" si="11"/>
        <v>400000</v>
      </c>
      <c r="Y27" s="262" t="s">
        <v>1116</v>
      </c>
    </row>
    <row r="28" spans="1:25" ht="28.5">
      <c r="A28" s="193">
        <f>A27+1</f>
        <v>86</v>
      </c>
      <c r="B28" s="261" t="s">
        <v>214</v>
      </c>
      <c r="C28" s="56"/>
      <c r="D28" s="56">
        <v>0</v>
      </c>
      <c r="E28" s="56">
        <v>55931</v>
      </c>
      <c r="F28" s="56"/>
      <c r="G28" s="56"/>
      <c r="H28" s="56"/>
      <c r="I28" s="56"/>
      <c r="J28" s="56"/>
      <c r="K28" s="56">
        <f t="shared" si="12"/>
        <v>0</v>
      </c>
      <c r="L28" s="56">
        <f t="shared" si="7"/>
        <v>55931</v>
      </c>
      <c r="M28" s="259"/>
      <c r="N28" s="260"/>
      <c r="O28" s="260"/>
      <c r="P28" s="260">
        <f t="shared" si="1"/>
        <v>0</v>
      </c>
      <c r="Q28" s="260"/>
      <c r="R28" s="260">
        <f t="shared" si="3"/>
        <v>0</v>
      </c>
      <c r="S28" s="259"/>
      <c r="T28" s="238">
        <v>50000</v>
      </c>
      <c r="U28" s="238"/>
      <c r="V28" s="238">
        <v>50000</v>
      </c>
      <c r="W28" s="53">
        <f t="shared" si="10"/>
        <v>50000</v>
      </c>
      <c r="X28" s="53">
        <f t="shared" si="11"/>
        <v>100000</v>
      </c>
      <c r="Y28" s="262"/>
    </row>
    <row r="29" spans="1:25">
      <c r="A29" s="193">
        <f t="shared" si="0"/>
        <v>87</v>
      </c>
      <c r="B29" s="251" t="s">
        <v>215</v>
      </c>
      <c r="C29" s="56"/>
      <c r="D29" s="56">
        <v>20000</v>
      </c>
      <c r="E29" s="56">
        <v>7003</v>
      </c>
      <c r="F29" s="56">
        <v>20000</v>
      </c>
      <c r="G29" s="56">
        <v>25000</v>
      </c>
      <c r="H29" s="56" t="s">
        <v>216</v>
      </c>
      <c r="I29" s="56">
        <v>5000</v>
      </c>
      <c r="J29" s="56">
        <v>5000</v>
      </c>
      <c r="K29" s="56">
        <f t="shared" si="12"/>
        <v>5000</v>
      </c>
      <c r="L29" s="56">
        <f t="shared" si="7"/>
        <v>37003</v>
      </c>
      <c r="M29" s="259"/>
      <c r="N29" s="260">
        <v>5000</v>
      </c>
      <c r="O29" s="260">
        <v>30000</v>
      </c>
      <c r="P29" s="260">
        <f t="shared" si="1"/>
        <v>35000</v>
      </c>
      <c r="Q29" s="263" t="s">
        <v>217</v>
      </c>
      <c r="R29" s="260">
        <f t="shared" si="3"/>
        <v>35000</v>
      </c>
      <c r="S29" s="259"/>
      <c r="T29" s="238">
        <v>70000</v>
      </c>
      <c r="U29" s="238">
        <v>10000</v>
      </c>
      <c r="V29" s="238">
        <v>30000</v>
      </c>
      <c r="W29" s="53">
        <f t="shared" si="10"/>
        <v>40000</v>
      </c>
      <c r="X29" s="53">
        <f t="shared" si="11"/>
        <v>110000</v>
      </c>
      <c r="Y29" s="262" t="s">
        <v>218</v>
      </c>
    </row>
    <row r="30" spans="1:25" ht="35.85" customHeight="1">
      <c r="A30" s="193">
        <f t="shared" si="0"/>
        <v>88</v>
      </c>
      <c r="B30" s="194" t="s">
        <v>219</v>
      </c>
      <c r="C30" s="56"/>
      <c r="D30" s="56">
        <v>60000</v>
      </c>
      <c r="E30" s="56">
        <f>28597+9366</f>
        <v>37963</v>
      </c>
      <c r="F30" s="56">
        <v>25000</v>
      </c>
      <c r="G30" s="56">
        <v>25000</v>
      </c>
      <c r="H30" s="56" t="s">
        <v>220</v>
      </c>
      <c r="I30" s="56"/>
      <c r="J30" s="56">
        <v>25000</v>
      </c>
      <c r="K30" s="56">
        <f t="shared" si="12"/>
        <v>25000</v>
      </c>
      <c r="L30" s="56">
        <f t="shared" si="7"/>
        <v>87963</v>
      </c>
      <c r="M30" s="259"/>
      <c r="N30" s="260"/>
      <c r="O30" s="260">
        <v>70000</v>
      </c>
      <c r="P30" s="260">
        <f t="shared" si="1"/>
        <v>70000</v>
      </c>
      <c r="Q30" s="260" t="s">
        <v>221</v>
      </c>
      <c r="R30" s="260">
        <f t="shared" si="3"/>
        <v>70000</v>
      </c>
      <c r="S30" s="259"/>
      <c r="T30" s="238">
        <v>90000</v>
      </c>
      <c r="U30" s="238"/>
      <c r="V30" s="238">
        <v>90000</v>
      </c>
      <c r="W30" s="53">
        <f t="shared" si="10"/>
        <v>90000</v>
      </c>
      <c r="X30" s="53">
        <f>T30+W30</f>
        <v>180000</v>
      </c>
      <c r="Y30" s="262" t="s">
        <v>222</v>
      </c>
    </row>
    <row r="31" spans="1:25">
      <c r="A31" s="193" t="s">
        <v>223</v>
      </c>
      <c r="B31" s="194" t="s">
        <v>179</v>
      </c>
      <c r="C31" s="56"/>
      <c r="D31" s="56"/>
      <c r="E31" s="56"/>
      <c r="F31" s="56"/>
      <c r="G31" s="56"/>
      <c r="H31" s="56"/>
      <c r="I31" s="56"/>
      <c r="J31" s="56"/>
      <c r="K31" s="56">
        <f t="shared" si="12"/>
        <v>0</v>
      </c>
      <c r="L31" s="56">
        <f t="shared" si="7"/>
        <v>0</v>
      </c>
      <c r="M31" s="259"/>
      <c r="N31" s="260"/>
      <c r="O31" s="260"/>
      <c r="P31" s="260">
        <f t="shared" si="1"/>
        <v>0</v>
      </c>
      <c r="Q31" s="260"/>
      <c r="R31" s="260">
        <f t="shared" si="3"/>
        <v>0</v>
      </c>
      <c r="S31" s="259"/>
      <c r="T31" s="238"/>
      <c r="U31" s="238"/>
      <c r="V31" s="238"/>
      <c r="W31" s="53">
        <f t="shared" si="10"/>
        <v>0</v>
      </c>
      <c r="X31" s="53">
        <f t="shared" si="11"/>
        <v>0</v>
      </c>
      <c r="Y31" s="262"/>
    </row>
    <row r="32" spans="1:25" ht="55.5" customHeight="1">
      <c r="A32" s="193">
        <f>A30+1</f>
        <v>89</v>
      </c>
      <c r="B32" s="261" t="s">
        <v>224</v>
      </c>
      <c r="C32" s="56"/>
      <c r="D32" s="56">
        <v>45000</v>
      </c>
      <c r="E32" s="56">
        <f>2252</f>
        <v>2252</v>
      </c>
      <c r="F32" s="56">
        <v>15000</v>
      </c>
      <c r="G32" s="56">
        <v>15000</v>
      </c>
      <c r="H32" s="264" t="s">
        <v>225</v>
      </c>
      <c r="I32" s="56"/>
      <c r="J32" s="56">
        <v>10000</v>
      </c>
      <c r="K32" s="56">
        <f t="shared" si="12"/>
        <v>10000</v>
      </c>
      <c r="L32" s="56">
        <f t="shared" si="7"/>
        <v>27252</v>
      </c>
      <c r="M32" s="259"/>
      <c r="N32" s="260"/>
      <c r="O32" s="260">
        <v>0</v>
      </c>
      <c r="P32" s="260">
        <f t="shared" si="1"/>
        <v>0</v>
      </c>
      <c r="Q32" s="260"/>
      <c r="R32" s="260">
        <f t="shared" si="3"/>
        <v>0</v>
      </c>
      <c r="S32" s="259"/>
      <c r="T32" s="238">
        <v>100000</v>
      </c>
      <c r="U32" s="238"/>
      <c r="V32" s="238">
        <v>100000</v>
      </c>
      <c r="W32" s="53">
        <f t="shared" si="10"/>
        <v>100000</v>
      </c>
      <c r="X32" s="53">
        <f t="shared" si="11"/>
        <v>200000</v>
      </c>
      <c r="Y32" s="262" t="s">
        <v>1114</v>
      </c>
    </row>
    <row r="33" spans="1:25">
      <c r="A33" s="193">
        <f t="shared" si="0"/>
        <v>90</v>
      </c>
      <c r="B33" s="261" t="s">
        <v>226</v>
      </c>
      <c r="C33" s="56"/>
      <c r="D33" s="56">
        <v>0</v>
      </c>
      <c r="E33" s="56"/>
      <c r="F33" s="56"/>
      <c r="G33" s="56"/>
      <c r="H33" s="56"/>
      <c r="I33" s="56"/>
      <c r="J33" s="56"/>
      <c r="K33" s="56">
        <f t="shared" si="12"/>
        <v>0</v>
      </c>
      <c r="L33" s="56">
        <f t="shared" si="7"/>
        <v>0</v>
      </c>
      <c r="M33" s="259"/>
      <c r="N33" s="260"/>
      <c r="O33" s="260">
        <v>50000</v>
      </c>
      <c r="P33" s="260">
        <f t="shared" si="1"/>
        <v>50000</v>
      </c>
      <c r="Q33" s="260" t="s">
        <v>227</v>
      </c>
      <c r="R33" s="260">
        <f t="shared" si="3"/>
        <v>50000</v>
      </c>
      <c r="S33" s="259"/>
      <c r="T33" s="238">
        <v>50000</v>
      </c>
      <c r="U33" s="238"/>
      <c r="V33" s="238">
        <v>50000</v>
      </c>
      <c r="W33" s="53">
        <f t="shared" si="10"/>
        <v>50000</v>
      </c>
      <c r="X33" s="53">
        <f t="shared" si="11"/>
        <v>100000</v>
      </c>
      <c r="Y33" s="262" t="s">
        <v>228</v>
      </c>
    </row>
    <row r="34" spans="1:25" ht="28.5">
      <c r="A34" s="193">
        <f t="shared" si="0"/>
        <v>91</v>
      </c>
      <c r="B34" s="251" t="s">
        <v>229</v>
      </c>
      <c r="C34" s="56"/>
      <c r="D34" s="56">
        <v>20000</v>
      </c>
      <c r="E34" s="56">
        <v>7500</v>
      </c>
      <c r="F34" s="56">
        <v>5000</v>
      </c>
      <c r="G34" s="56">
        <v>5000</v>
      </c>
      <c r="H34" s="56" t="s">
        <v>230</v>
      </c>
      <c r="I34" s="56">
        <v>3000</v>
      </c>
      <c r="J34" s="56">
        <v>10000</v>
      </c>
      <c r="K34" s="56">
        <f t="shared" si="12"/>
        <v>10000</v>
      </c>
      <c r="L34" s="56">
        <f t="shared" si="7"/>
        <v>22500</v>
      </c>
      <c r="M34" s="259"/>
      <c r="N34" s="260">
        <v>3000</v>
      </c>
      <c r="O34" s="260">
        <v>10000</v>
      </c>
      <c r="P34" s="260">
        <f t="shared" si="1"/>
        <v>13000</v>
      </c>
      <c r="Q34" s="260" t="s">
        <v>231</v>
      </c>
      <c r="R34" s="260">
        <f t="shared" si="3"/>
        <v>13000</v>
      </c>
      <c r="S34" s="259"/>
      <c r="T34" s="238">
        <v>10000</v>
      </c>
      <c r="U34" s="238">
        <v>5000</v>
      </c>
      <c r="V34" s="238">
        <v>10000</v>
      </c>
      <c r="W34" s="53">
        <f t="shared" si="10"/>
        <v>15000</v>
      </c>
      <c r="X34" s="53">
        <f t="shared" si="11"/>
        <v>25000</v>
      </c>
      <c r="Y34" s="262" t="s">
        <v>232</v>
      </c>
    </row>
    <row r="35" spans="1:25" ht="16.899999999999999" customHeight="1">
      <c r="A35" s="193">
        <f t="shared" si="0"/>
        <v>92</v>
      </c>
      <c r="B35" s="194" t="s">
        <v>233</v>
      </c>
      <c r="C35" s="56"/>
      <c r="D35" s="56">
        <v>40000</v>
      </c>
      <c r="E35" s="56">
        <v>0</v>
      </c>
      <c r="F35" s="56">
        <v>20000</v>
      </c>
      <c r="G35" s="56">
        <v>5000</v>
      </c>
      <c r="H35" s="258" t="s">
        <v>234</v>
      </c>
      <c r="I35" s="56"/>
      <c r="J35" s="56">
        <v>0</v>
      </c>
      <c r="K35" s="56">
        <f t="shared" si="12"/>
        <v>0</v>
      </c>
      <c r="L35" s="56"/>
      <c r="M35" s="259"/>
      <c r="N35" s="260"/>
      <c r="O35" s="260"/>
      <c r="P35" s="260">
        <f t="shared" si="1"/>
        <v>0</v>
      </c>
      <c r="Q35" s="260"/>
      <c r="R35" s="260">
        <f t="shared" si="3"/>
        <v>0</v>
      </c>
      <c r="S35" s="259"/>
      <c r="T35" s="238"/>
      <c r="U35" s="238"/>
      <c r="V35" s="238"/>
      <c r="W35" s="53">
        <f t="shared" si="10"/>
        <v>0</v>
      </c>
      <c r="X35" s="53">
        <f t="shared" si="11"/>
        <v>0</v>
      </c>
      <c r="Y35" s="239"/>
    </row>
    <row r="36" spans="1:25">
      <c r="A36" s="193">
        <f t="shared" si="0"/>
        <v>93</v>
      </c>
      <c r="B36" s="194" t="s">
        <v>153</v>
      </c>
      <c r="C36" s="56"/>
      <c r="D36" s="56">
        <v>10000</v>
      </c>
      <c r="E36" s="56"/>
      <c r="F36" s="56"/>
      <c r="G36" s="56"/>
      <c r="H36" s="56"/>
      <c r="I36" s="56"/>
      <c r="J36" s="56"/>
      <c r="K36" s="56">
        <f t="shared" si="12"/>
        <v>0</v>
      </c>
      <c r="L36" s="56">
        <f t="shared" ref="L36:L45" si="13">E36+G36+K36</f>
        <v>0</v>
      </c>
      <c r="M36" s="259"/>
      <c r="N36" s="260"/>
      <c r="O36" s="260"/>
      <c r="P36" s="260">
        <f t="shared" si="1"/>
        <v>0</v>
      </c>
      <c r="Q36" s="265"/>
      <c r="R36" s="260">
        <f t="shared" si="3"/>
        <v>0</v>
      </c>
      <c r="S36" s="259"/>
      <c r="T36" s="238"/>
      <c r="U36" s="238"/>
      <c r="V36" s="238"/>
      <c r="W36" s="53">
        <f t="shared" si="10"/>
        <v>0</v>
      </c>
      <c r="X36" s="53">
        <f t="shared" si="11"/>
        <v>0</v>
      </c>
      <c r="Y36" s="239"/>
    </row>
    <row r="37" spans="1:25" ht="30" customHeight="1">
      <c r="A37" s="193">
        <f t="shared" si="0"/>
        <v>94</v>
      </c>
      <c r="B37" s="251" t="s">
        <v>235</v>
      </c>
      <c r="C37" s="56"/>
      <c r="D37" s="56">
        <v>170000</v>
      </c>
      <c r="E37" s="56">
        <f>34488+17974</f>
        <v>52462</v>
      </c>
      <c r="F37" s="56">
        <v>60000</v>
      </c>
      <c r="G37" s="56">
        <v>32000</v>
      </c>
      <c r="H37" s="56" t="s">
        <v>236</v>
      </c>
      <c r="I37" s="56">
        <v>10000</v>
      </c>
      <c r="J37" s="56">
        <v>45000</v>
      </c>
      <c r="K37" s="56">
        <f t="shared" si="12"/>
        <v>45000</v>
      </c>
      <c r="L37" s="56">
        <f t="shared" si="13"/>
        <v>129462</v>
      </c>
      <c r="M37" s="259"/>
      <c r="N37" s="260">
        <v>10000</v>
      </c>
      <c r="O37" s="260">
        <v>45000</v>
      </c>
      <c r="P37" s="260">
        <f t="shared" si="1"/>
        <v>55000</v>
      </c>
      <c r="Q37" s="265"/>
      <c r="R37" s="260">
        <f t="shared" si="3"/>
        <v>55000</v>
      </c>
      <c r="S37" s="259"/>
      <c r="T37" s="238">
        <v>45000</v>
      </c>
      <c r="U37" s="238">
        <v>10000</v>
      </c>
      <c r="V37" s="238">
        <v>45000</v>
      </c>
      <c r="W37" s="53">
        <f t="shared" si="10"/>
        <v>55000</v>
      </c>
      <c r="X37" s="53">
        <f t="shared" si="11"/>
        <v>100000</v>
      </c>
      <c r="Y37" s="239" t="s">
        <v>237</v>
      </c>
    </row>
    <row r="38" spans="1:25">
      <c r="A38" s="193">
        <f t="shared" si="0"/>
        <v>95</v>
      </c>
      <c r="B38" s="194" t="s">
        <v>153</v>
      </c>
      <c r="C38" s="56"/>
      <c r="D38" s="56">
        <v>0</v>
      </c>
      <c r="E38" s="56"/>
      <c r="F38" s="56"/>
      <c r="G38" s="56"/>
      <c r="H38" s="56" t="s">
        <v>238</v>
      </c>
      <c r="I38" s="56"/>
      <c r="J38" s="56"/>
      <c r="K38" s="56">
        <f t="shared" si="12"/>
        <v>0</v>
      </c>
      <c r="L38" s="56">
        <f t="shared" si="13"/>
        <v>0</v>
      </c>
      <c r="M38" s="259"/>
      <c r="N38" s="260"/>
      <c r="O38" s="260"/>
      <c r="P38" s="260">
        <f t="shared" si="1"/>
        <v>0</v>
      </c>
      <c r="Q38" s="266"/>
      <c r="R38" s="260">
        <f t="shared" si="3"/>
        <v>0</v>
      </c>
      <c r="S38" s="259"/>
      <c r="T38" s="238"/>
      <c r="U38" s="238"/>
      <c r="V38" s="238"/>
      <c r="W38" s="53">
        <f t="shared" si="10"/>
        <v>0</v>
      </c>
      <c r="X38" s="53">
        <f t="shared" si="11"/>
        <v>0</v>
      </c>
      <c r="Y38" s="239"/>
    </row>
    <row r="39" spans="1:25" ht="36.950000000000003" customHeight="1">
      <c r="A39" s="193">
        <f t="shared" si="0"/>
        <v>96</v>
      </c>
      <c r="B39" s="194" t="s">
        <v>239</v>
      </c>
      <c r="C39" s="56"/>
      <c r="D39" s="56">
        <v>130000</v>
      </c>
      <c r="E39" s="56">
        <v>34150</v>
      </c>
      <c r="F39" s="56">
        <v>55000</v>
      </c>
      <c r="G39" s="56">
        <v>55000</v>
      </c>
      <c r="H39" s="56" t="s">
        <v>240</v>
      </c>
      <c r="I39" s="56">
        <v>5000</v>
      </c>
      <c r="J39" s="56">
        <v>45000</v>
      </c>
      <c r="K39" s="56">
        <f t="shared" si="12"/>
        <v>45000</v>
      </c>
      <c r="L39" s="56">
        <f t="shared" si="13"/>
        <v>134150</v>
      </c>
      <c r="M39" s="259"/>
      <c r="N39" s="260">
        <v>5000</v>
      </c>
      <c r="O39" s="260">
        <v>50000</v>
      </c>
      <c r="P39" s="260">
        <f t="shared" si="1"/>
        <v>55000</v>
      </c>
      <c r="Q39" s="267" t="s">
        <v>241</v>
      </c>
      <c r="R39" s="260">
        <f t="shared" si="3"/>
        <v>55000</v>
      </c>
      <c r="S39" s="259"/>
      <c r="T39" s="238">
        <v>20000</v>
      </c>
      <c r="U39" s="238">
        <v>5000</v>
      </c>
      <c r="V39" s="238">
        <v>20000</v>
      </c>
      <c r="W39" s="53">
        <f t="shared" si="10"/>
        <v>25000</v>
      </c>
      <c r="X39" s="53">
        <f t="shared" si="11"/>
        <v>45000</v>
      </c>
      <c r="Y39" s="239" t="s">
        <v>241</v>
      </c>
    </row>
    <row r="40" spans="1:25">
      <c r="A40" s="193">
        <f t="shared" si="0"/>
        <v>97</v>
      </c>
      <c r="B40" s="194" t="s">
        <v>153</v>
      </c>
      <c r="C40" s="56"/>
      <c r="D40" s="56">
        <v>0</v>
      </c>
      <c r="E40" s="56"/>
      <c r="F40" s="56"/>
      <c r="G40" s="56"/>
      <c r="H40" s="56"/>
      <c r="I40" s="56"/>
      <c r="J40" s="56"/>
      <c r="K40" s="56">
        <f t="shared" si="12"/>
        <v>0</v>
      </c>
      <c r="L40" s="56">
        <f t="shared" si="13"/>
        <v>0</v>
      </c>
      <c r="M40" s="259"/>
      <c r="N40" s="260"/>
      <c r="O40" s="260"/>
      <c r="P40" s="260">
        <f t="shared" si="1"/>
        <v>0</v>
      </c>
      <c r="Q40" s="260"/>
      <c r="R40" s="260">
        <f t="shared" si="3"/>
        <v>0</v>
      </c>
      <c r="S40" s="259"/>
      <c r="T40" s="238"/>
      <c r="U40" s="238"/>
      <c r="V40" s="238"/>
      <c r="W40" s="53">
        <f t="shared" si="10"/>
        <v>0</v>
      </c>
      <c r="X40" s="53">
        <f t="shared" si="11"/>
        <v>0</v>
      </c>
      <c r="Y40" s="239"/>
    </row>
    <row r="41" spans="1:25" ht="22.9" customHeight="1">
      <c r="A41" s="193">
        <f t="shared" si="0"/>
        <v>98</v>
      </c>
      <c r="B41" s="194" t="s">
        <v>242</v>
      </c>
      <c r="C41" s="56"/>
      <c r="D41" s="56">
        <v>55000</v>
      </c>
      <c r="E41" s="56">
        <v>23896</v>
      </c>
      <c r="F41" s="56">
        <v>20000</v>
      </c>
      <c r="G41" s="56">
        <v>12000</v>
      </c>
      <c r="H41" s="56" t="s">
        <v>243</v>
      </c>
      <c r="I41" s="56">
        <v>1000</v>
      </c>
      <c r="J41" s="56">
        <v>16000</v>
      </c>
      <c r="K41" s="56">
        <f t="shared" si="12"/>
        <v>16000</v>
      </c>
      <c r="L41" s="56">
        <f t="shared" si="13"/>
        <v>51896</v>
      </c>
      <c r="M41" s="259"/>
      <c r="N41" s="260">
        <v>1000</v>
      </c>
      <c r="O41" s="260">
        <v>10000</v>
      </c>
      <c r="P41" s="260">
        <f t="shared" si="1"/>
        <v>11000</v>
      </c>
      <c r="Q41" s="260"/>
      <c r="R41" s="260">
        <f t="shared" si="3"/>
        <v>11000</v>
      </c>
      <c r="S41" s="259"/>
      <c r="T41" s="238">
        <v>20000</v>
      </c>
      <c r="U41" s="238">
        <v>2000</v>
      </c>
      <c r="V41" s="238">
        <v>20000</v>
      </c>
      <c r="W41" s="53">
        <f t="shared" si="10"/>
        <v>22000</v>
      </c>
      <c r="X41" s="53">
        <f t="shared" si="11"/>
        <v>42000</v>
      </c>
      <c r="Y41" s="239"/>
    </row>
    <row r="42" spans="1:25" ht="35.85" customHeight="1">
      <c r="A42" s="193">
        <f t="shared" si="0"/>
        <v>99</v>
      </c>
      <c r="B42" s="194" t="s">
        <v>153</v>
      </c>
      <c r="C42" s="56"/>
      <c r="D42" s="56">
        <v>20000</v>
      </c>
      <c r="E42" s="56"/>
      <c r="F42" s="56"/>
      <c r="G42" s="56"/>
      <c r="H42" s="56" t="s">
        <v>244</v>
      </c>
      <c r="I42" s="56"/>
      <c r="J42" s="56"/>
      <c r="K42" s="56">
        <f t="shared" si="12"/>
        <v>0</v>
      </c>
      <c r="L42" s="56">
        <f t="shared" si="13"/>
        <v>0</v>
      </c>
      <c r="M42" s="259"/>
      <c r="N42" s="260"/>
      <c r="O42" s="260"/>
      <c r="P42" s="260">
        <f t="shared" si="1"/>
        <v>0</v>
      </c>
      <c r="Q42" s="266"/>
      <c r="R42" s="260">
        <f t="shared" si="3"/>
        <v>0</v>
      </c>
      <c r="S42" s="259"/>
      <c r="T42" s="238"/>
      <c r="U42" s="238"/>
      <c r="V42" s="238"/>
      <c r="W42" s="53">
        <f t="shared" si="10"/>
        <v>0</v>
      </c>
      <c r="X42" s="53">
        <f t="shared" si="11"/>
        <v>0</v>
      </c>
      <c r="Y42" s="239"/>
    </row>
    <row r="43" spans="1:25">
      <c r="A43" s="193" t="s">
        <v>245</v>
      </c>
      <c r="B43" s="194" t="s">
        <v>179</v>
      </c>
      <c r="C43" s="56"/>
      <c r="D43" s="56"/>
      <c r="E43" s="56"/>
      <c r="F43" s="56"/>
      <c r="G43" s="56"/>
      <c r="H43" s="56"/>
      <c r="I43" s="56"/>
      <c r="J43" s="56"/>
      <c r="K43" s="56">
        <f>I45</f>
        <v>24000</v>
      </c>
      <c r="L43" s="56">
        <f t="shared" si="13"/>
        <v>24000</v>
      </c>
      <c r="M43" s="259"/>
      <c r="N43" s="260"/>
      <c r="O43" s="260"/>
      <c r="P43" s="260">
        <f t="shared" si="1"/>
        <v>0</v>
      </c>
      <c r="Q43" s="266"/>
      <c r="R43" s="260">
        <f t="shared" si="3"/>
        <v>0</v>
      </c>
      <c r="S43" s="259"/>
      <c r="T43" s="238"/>
      <c r="U43" s="238"/>
      <c r="V43" s="238"/>
      <c r="W43" s="53">
        <f t="shared" si="10"/>
        <v>0</v>
      </c>
      <c r="X43" s="53">
        <f t="shared" si="11"/>
        <v>0</v>
      </c>
      <c r="Y43" s="239"/>
    </row>
    <row r="44" spans="1:25" ht="28.5">
      <c r="A44" s="193">
        <f>A42+1</f>
        <v>100</v>
      </c>
      <c r="B44" s="240" t="s">
        <v>181</v>
      </c>
      <c r="C44" s="56">
        <v>0</v>
      </c>
      <c r="D44" s="56">
        <v>1446038.4313201474</v>
      </c>
      <c r="E44" s="56">
        <v>343274</v>
      </c>
      <c r="F44" s="56">
        <f>'[3]Salary Summary 19 for 2019-2021'!L34</f>
        <v>478180.429670727</v>
      </c>
      <c r="G44" s="56">
        <f>F44</f>
        <v>478180.429670727</v>
      </c>
      <c r="H44" s="56" t="s">
        <v>246</v>
      </c>
      <c r="I44" s="56"/>
      <c r="J44" s="56">
        <f>'[3]Salary Summary 20 for 2019-2021'!P34</f>
        <v>441951.82943613187</v>
      </c>
      <c r="K44" s="56">
        <f t="shared" si="12"/>
        <v>441951.82943613187</v>
      </c>
      <c r="L44" s="56">
        <f t="shared" si="13"/>
        <v>1263406.2591068589</v>
      </c>
      <c r="M44" s="259"/>
      <c r="N44" s="260"/>
      <c r="O44" s="260">
        <f>'Salary Summary 21 for 2022-2024'!M35-50000</f>
        <v>404432.39463108458</v>
      </c>
      <c r="P44" s="260">
        <f t="shared" si="1"/>
        <v>404432.39463108458</v>
      </c>
      <c r="Q44" s="59" t="s">
        <v>247</v>
      </c>
      <c r="R44" s="260">
        <f t="shared" si="3"/>
        <v>404432.39463108458</v>
      </c>
      <c r="S44" s="259"/>
      <c r="T44" s="268">
        <f>'Salary Summary 21 for 2022-2024'!Q35</f>
        <v>467993.62986928353</v>
      </c>
      <c r="U44" s="238"/>
      <c r="V44" s="268">
        <f>'Salary Summary 21 for 2022-2024'!U35</f>
        <v>482965.49699342408</v>
      </c>
      <c r="W44" s="53">
        <f t="shared" si="10"/>
        <v>482965.49699342408</v>
      </c>
      <c r="X44" s="53">
        <f t="shared" si="11"/>
        <v>950959.12686270755</v>
      </c>
      <c r="Y44" s="238"/>
    </row>
    <row r="45" spans="1:25">
      <c r="A45" s="252">
        <f t="shared" si="0"/>
        <v>101</v>
      </c>
      <c r="B45" s="269" t="s">
        <v>248</v>
      </c>
      <c r="C45" s="115">
        <f>SUM(C26:C44)</f>
        <v>2000000</v>
      </c>
      <c r="D45" s="115">
        <f t="shared" ref="D45:K45" si="14">SUM(D26:D44)</f>
        <v>2766038.4313201476</v>
      </c>
      <c r="E45" s="115">
        <f t="shared" si="14"/>
        <v>802776</v>
      </c>
      <c r="F45" s="115">
        <f t="shared" si="14"/>
        <v>898180.429670727</v>
      </c>
      <c r="G45" s="115">
        <f t="shared" si="14"/>
        <v>952180.429670727</v>
      </c>
      <c r="H45" s="115">
        <f t="shared" si="14"/>
        <v>0</v>
      </c>
      <c r="I45" s="115">
        <f t="shared" si="14"/>
        <v>24000</v>
      </c>
      <c r="J45" s="115">
        <f t="shared" si="14"/>
        <v>747951.82943613187</v>
      </c>
      <c r="K45" s="115">
        <f t="shared" si="14"/>
        <v>771951.82943613187</v>
      </c>
      <c r="L45" s="115">
        <f t="shared" si="13"/>
        <v>2526908.2591068586</v>
      </c>
      <c r="M45" s="270"/>
      <c r="N45" s="271">
        <f t="shared" ref="N45:P45" si="15">SUM(N26:N44)</f>
        <v>24000</v>
      </c>
      <c r="O45" s="271">
        <f t="shared" si="15"/>
        <v>769432.39463108452</v>
      </c>
      <c r="P45" s="271">
        <f t="shared" si="15"/>
        <v>793432.39463108452</v>
      </c>
      <c r="Q45" s="271"/>
      <c r="R45" s="271">
        <f t="shared" si="3"/>
        <v>793432.39463108452</v>
      </c>
      <c r="S45" s="270"/>
      <c r="T45" s="272">
        <f t="shared" ref="T45:Y45" si="16">SUM(T26:T44)</f>
        <v>1122993.6298692836</v>
      </c>
      <c r="U45" s="272">
        <f t="shared" si="16"/>
        <v>32000</v>
      </c>
      <c r="V45" s="272">
        <f t="shared" si="16"/>
        <v>1097965.4969934241</v>
      </c>
      <c r="W45" s="272">
        <f t="shared" si="16"/>
        <v>1129965.4969934241</v>
      </c>
      <c r="X45" s="272">
        <f t="shared" si="16"/>
        <v>2252959.1268627075</v>
      </c>
      <c r="Y45" s="272">
        <f t="shared" si="16"/>
        <v>0</v>
      </c>
    </row>
    <row r="46" spans="1:25">
      <c r="A46" s="193">
        <f t="shared" si="0"/>
        <v>102</v>
      </c>
      <c r="C46" s="50"/>
      <c r="D46" s="50"/>
      <c r="E46" s="50"/>
      <c r="F46" s="50"/>
      <c r="G46" s="50"/>
      <c r="H46" s="50" t="s">
        <v>249</v>
      </c>
      <c r="I46" s="50"/>
      <c r="J46" s="50"/>
      <c r="K46" s="50"/>
      <c r="L46" s="50"/>
      <c r="M46" s="237"/>
      <c r="N46" s="59"/>
      <c r="O46" s="59"/>
      <c r="P46" s="59">
        <f t="shared" si="1"/>
        <v>0</v>
      </c>
      <c r="Q46" s="59"/>
      <c r="R46" s="59">
        <f t="shared" si="3"/>
        <v>0</v>
      </c>
      <c r="S46" s="237"/>
      <c r="T46" s="238"/>
      <c r="U46" s="238"/>
      <c r="V46" s="238"/>
      <c r="W46" s="238"/>
      <c r="X46" s="238"/>
      <c r="Y46" s="238"/>
    </row>
    <row r="47" spans="1:25">
      <c r="A47" s="235">
        <f t="shared" si="0"/>
        <v>103</v>
      </c>
      <c r="B47" s="245" t="s">
        <v>250</v>
      </c>
      <c r="C47" s="195"/>
      <c r="D47" s="195"/>
      <c r="E47" s="195"/>
      <c r="F47" s="195"/>
      <c r="G47" s="195"/>
      <c r="H47" s="195"/>
      <c r="I47" s="195"/>
      <c r="J47" s="195"/>
      <c r="K47" s="195"/>
      <c r="L47" s="56">
        <f t="shared" ref="L47:L48" si="17">E47+G47+K47</f>
        <v>0</v>
      </c>
      <c r="M47" s="273"/>
      <c r="N47" s="196"/>
      <c r="O47" s="196"/>
      <c r="P47" s="196">
        <f t="shared" si="1"/>
        <v>0</v>
      </c>
      <c r="Q47" s="243"/>
      <c r="R47" s="196">
        <f t="shared" si="3"/>
        <v>0</v>
      </c>
      <c r="S47" s="273"/>
      <c r="T47" s="238"/>
      <c r="U47" s="238"/>
      <c r="V47" s="238"/>
      <c r="W47" s="238"/>
      <c r="X47" s="238"/>
      <c r="Y47" s="238"/>
    </row>
    <row r="48" spans="1:25" s="236" customFormat="1">
      <c r="A48" s="235">
        <f t="shared" si="0"/>
        <v>104</v>
      </c>
      <c r="B48" s="245" t="s">
        <v>251</v>
      </c>
      <c r="C48" s="195"/>
      <c r="D48" s="195"/>
      <c r="E48" s="195"/>
      <c r="F48" s="195"/>
      <c r="G48" s="195"/>
      <c r="H48" s="195"/>
      <c r="I48" s="195"/>
      <c r="J48" s="195"/>
      <c r="K48" s="195"/>
      <c r="L48" s="56">
        <f t="shared" si="17"/>
        <v>0</v>
      </c>
      <c r="M48" s="273"/>
      <c r="N48" s="196"/>
      <c r="O48" s="196"/>
      <c r="P48" s="196">
        <f t="shared" si="1"/>
        <v>0</v>
      </c>
      <c r="Q48" s="243"/>
      <c r="R48" s="196">
        <f t="shared" si="3"/>
        <v>0</v>
      </c>
      <c r="S48" s="273"/>
      <c r="T48" s="248"/>
      <c r="U48" s="248"/>
      <c r="V48" s="248"/>
      <c r="W48" s="248"/>
      <c r="X48" s="248"/>
      <c r="Y48" s="248"/>
    </row>
    <row r="49" spans="1:25" ht="49.5" customHeight="1">
      <c r="A49" s="193">
        <f t="shared" si="0"/>
        <v>105</v>
      </c>
      <c r="B49" s="251" t="s">
        <v>252</v>
      </c>
      <c r="C49" s="195"/>
      <c r="D49" s="274">
        <v>80000</v>
      </c>
      <c r="E49" s="275"/>
      <c r="F49" s="274">
        <v>30000</v>
      </c>
      <c r="G49" s="274">
        <v>10000</v>
      </c>
      <c r="H49" s="276" t="s">
        <v>253</v>
      </c>
      <c r="I49" s="274"/>
      <c r="J49" s="274">
        <v>32500</v>
      </c>
      <c r="K49" s="274">
        <f>J49</f>
        <v>32500</v>
      </c>
      <c r="L49" s="274"/>
      <c r="M49" s="277"/>
      <c r="N49" s="278"/>
      <c r="O49" s="278">
        <v>40000</v>
      </c>
      <c r="P49" s="278">
        <f t="shared" si="1"/>
        <v>40000</v>
      </c>
      <c r="Q49" s="279" t="s">
        <v>254</v>
      </c>
      <c r="R49" s="278">
        <f t="shared" si="3"/>
        <v>40000</v>
      </c>
      <c r="S49" s="277"/>
      <c r="T49" s="238">
        <v>40000</v>
      </c>
      <c r="U49" s="238"/>
      <c r="V49" s="238">
        <v>40000</v>
      </c>
      <c r="W49" s="53">
        <f t="shared" ref="W49:W55" si="18">U49+V49</f>
        <v>40000</v>
      </c>
      <c r="X49" s="53">
        <f t="shared" ref="X49:X55" si="19">T49+W49</f>
        <v>80000</v>
      </c>
      <c r="Y49" s="238" t="s">
        <v>254</v>
      </c>
    </row>
    <row r="50" spans="1:25">
      <c r="A50" s="193">
        <f t="shared" si="0"/>
        <v>106</v>
      </c>
      <c r="B50" s="280" t="s">
        <v>255</v>
      </c>
      <c r="C50" s="195"/>
      <c r="D50" s="274">
        <v>80000</v>
      </c>
      <c r="E50" s="275"/>
      <c r="F50" s="274">
        <v>32500</v>
      </c>
      <c r="G50" s="274">
        <v>85000</v>
      </c>
      <c r="H50" s="274" t="s">
        <v>256</v>
      </c>
      <c r="I50" s="274"/>
      <c r="J50" s="274">
        <f>SUM(J46:J49)</f>
        <v>32500</v>
      </c>
      <c r="K50" s="274">
        <f t="shared" ref="K50:K54" si="20">J50</f>
        <v>32500</v>
      </c>
      <c r="L50" s="274"/>
      <c r="M50" s="277"/>
      <c r="N50" s="278"/>
      <c r="O50" s="278">
        <v>36666</v>
      </c>
      <c r="P50" s="278">
        <f t="shared" si="1"/>
        <v>36666</v>
      </c>
      <c r="Q50" s="281"/>
      <c r="R50" s="278">
        <f t="shared" si="3"/>
        <v>36666</v>
      </c>
      <c r="S50" s="277"/>
      <c r="T50" s="238">
        <v>50000</v>
      </c>
      <c r="U50" s="238"/>
      <c r="V50" s="238">
        <v>50000</v>
      </c>
      <c r="W50" s="53">
        <f t="shared" si="18"/>
        <v>50000</v>
      </c>
      <c r="X50" s="53">
        <f t="shared" si="19"/>
        <v>100000</v>
      </c>
      <c r="Y50" s="238"/>
    </row>
    <row r="51" spans="1:25">
      <c r="A51" s="193">
        <f t="shared" si="0"/>
        <v>107</v>
      </c>
      <c r="B51" s="194" t="s">
        <v>257</v>
      </c>
      <c r="C51" s="195"/>
      <c r="D51" s="274">
        <v>30000</v>
      </c>
      <c r="E51" s="275"/>
      <c r="F51" s="274"/>
      <c r="G51" s="274"/>
      <c r="H51" s="274"/>
      <c r="I51" s="274"/>
      <c r="J51" s="274">
        <v>15000</v>
      </c>
      <c r="K51" s="274">
        <f t="shared" si="20"/>
        <v>15000</v>
      </c>
      <c r="L51" s="274"/>
      <c r="M51" s="277"/>
      <c r="N51" s="278"/>
      <c r="O51" s="278">
        <v>10000</v>
      </c>
      <c r="P51" s="278">
        <f t="shared" si="1"/>
        <v>10000</v>
      </c>
      <c r="Q51" s="281"/>
      <c r="R51" s="278">
        <f t="shared" si="3"/>
        <v>10000</v>
      </c>
      <c r="S51" s="277"/>
      <c r="T51" s="238">
        <v>15000</v>
      </c>
      <c r="U51" s="238"/>
      <c r="V51" s="238"/>
      <c r="W51" s="53">
        <f t="shared" si="18"/>
        <v>0</v>
      </c>
      <c r="X51" s="53">
        <f t="shared" si="19"/>
        <v>15000</v>
      </c>
      <c r="Y51" s="238"/>
    </row>
    <row r="52" spans="1:25" ht="28.5">
      <c r="A52" s="193">
        <f t="shared" si="0"/>
        <v>108</v>
      </c>
      <c r="B52" s="280" t="s">
        <v>258</v>
      </c>
      <c r="C52" s="195"/>
      <c r="D52" s="274">
        <v>25000</v>
      </c>
      <c r="E52" s="275"/>
      <c r="F52" s="274"/>
      <c r="G52" s="274"/>
      <c r="H52" s="274"/>
      <c r="I52" s="274"/>
      <c r="J52" s="274"/>
      <c r="K52" s="274">
        <f t="shared" si="20"/>
        <v>0</v>
      </c>
      <c r="L52" s="274"/>
      <c r="M52" s="277"/>
      <c r="N52" s="278"/>
      <c r="O52" s="278">
        <v>8333</v>
      </c>
      <c r="P52" s="278">
        <f t="shared" si="1"/>
        <v>8333</v>
      </c>
      <c r="Q52" s="281"/>
      <c r="R52" s="278">
        <f t="shared" si="3"/>
        <v>8333</v>
      </c>
      <c r="S52" s="277"/>
      <c r="T52" s="238">
        <v>10000</v>
      </c>
      <c r="U52" s="238"/>
      <c r="V52" s="238">
        <v>10000</v>
      </c>
      <c r="W52" s="53">
        <f t="shared" si="18"/>
        <v>10000</v>
      </c>
      <c r="X52" s="53">
        <f t="shared" si="19"/>
        <v>20000</v>
      </c>
      <c r="Y52" s="238" t="s">
        <v>259</v>
      </c>
    </row>
    <row r="53" spans="1:25">
      <c r="A53" s="193">
        <f t="shared" si="0"/>
        <v>109</v>
      </c>
      <c r="B53" s="280" t="s">
        <v>260</v>
      </c>
      <c r="C53" s="195"/>
      <c r="D53" s="274">
        <v>98750</v>
      </c>
      <c r="E53" s="275"/>
      <c r="F53" s="274">
        <v>32917</v>
      </c>
      <c r="G53" s="274">
        <v>15000</v>
      </c>
      <c r="H53" s="274" t="s">
        <v>261</v>
      </c>
      <c r="I53" s="274">
        <v>20288</v>
      </c>
      <c r="J53" s="274">
        <v>12628</v>
      </c>
      <c r="K53" s="274">
        <f t="shared" si="20"/>
        <v>12628</v>
      </c>
      <c r="L53" s="274"/>
      <c r="M53" s="277"/>
      <c r="N53" s="278">
        <v>20288</v>
      </c>
      <c r="O53" s="278">
        <v>17628</v>
      </c>
      <c r="P53" s="278">
        <f t="shared" si="1"/>
        <v>37916</v>
      </c>
      <c r="Q53" s="281" t="s">
        <v>262</v>
      </c>
      <c r="R53" s="278">
        <f t="shared" si="3"/>
        <v>37916</v>
      </c>
      <c r="S53" s="277"/>
      <c r="T53" s="238">
        <v>17000</v>
      </c>
      <c r="U53" s="238">
        <v>20000</v>
      </c>
      <c r="V53" s="238">
        <v>17000</v>
      </c>
      <c r="W53" s="53">
        <f t="shared" si="18"/>
        <v>37000</v>
      </c>
      <c r="X53" s="53">
        <f t="shared" si="19"/>
        <v>54000</v>
      </c>
      <c r="Y53" s="238" t="s">
        <v>262</v>
      </c>
    </row>
    <row r="54" spans="1:25" ht="15.75">
      <c r="A54" s="193">
        <f t="shared" si="0"/>
        <v>110</v>
      </c>
      <c r="B54" s="282" t="s">
        <v>263</v>
      </c>
      <c r="C54" s="195"/>
      <c r="D54" s="274">
        <v>80000</v>
      </c>
      <c r="E54" s="275"/>
      <c r="F54" s="274">
        <v>26667</v>
      </c>
      <c r="G54" s="274">
        <v>17085</v>
      </c>
      <c r="H54" s="274" t="s">
        <v>168</v>
      </c>
      <c r="I54" s="274">
        <v>10000</v>
      </c>
      <c r="J54" s="274">
        <v>16666</v>
      </c>
      <c r="K54" s="274">
        <f t="shared" si="20"/>
        <v>16666</v>
      </c>
      <c r="L54" s="274"/>
      <c r="M54" s="277"/>
      <c r="N54" s="278">
        <v>10000</v>
      </c>
      <c r="O54" s="278">
        <v>30000</v>
      </c>
      <c r="P54" s="278">
        <f t="shared" si="1"/>
        <v>40000</v>
      </c>
      <c r="Q54" s="283" t="s">
        <v>264</v>
      </c>
      <c r="R54" s="278">
        <f t="shared" si="3"/>
        <v>40000</v>
      </c>
      <c r="S54" s="277"/>
      <c r="T54" s="238">
        <v>35000</v>
      </c>
      <c r="U54" s="238">
        <v>10000</v>
      </c>
      <c r="V54" s="238">
        <v>35000</v>
      </c>
      <c r="W54" s="53">
        <f t="shared" si="18"/>
        <v>45000</v>
      </c>
      <c r="X54" s="53"/>
      <c r="Y54" s="238" t="s">
        <v>265</v>
      </c>
    </row>
    <row r="55" spans="1:25">
      <c r="A55" s="193" t="s">
        <v>266</v>
      </c>
      <c r="B55" s="194" t="s">
        <v>267</v>
      </c>
      <c r="C55" s="195"/>
      <c r="D55" s="274">
        <v>30000</v>
      </c>
      <c r="E55" s="274"/>
      <c r="F55" s="274"/>
      <c r="G55" s="274"/>
      <c r="H55" s="274"/>
      <c r="I55" s="274"/>
      <c r="J55" s="274"/>
      <c r="K55" s="274"/>
      <c r="L55" s="274"/>
      <c r="M55" s="277"/>
      <c r="N55" s="278"/>
      <c r="O55" s="278">
        <v>10000</v>
      </c>
      <c r="P55" s="278">
        <f t="shared" si="1"/>
        <v>10000</v>
      </c>
      <c r="Q55" s="243"/>
      <c r="R55" s="278">
        <f t="shared" si="3"/>
        <v>10000</v>
      </c>
      <c r="S55" s="277"/>
      <c r="T55" s="238">
        <v>10000</v>
      </c>
      <c r="U55" s="238"/>
      <c r="V55" s="238">
        <v>10000</v>
      </c>
      <c r="W55" s="53">
        <f t="shared" si="18"/>
        <v>10000</v>
      </c>
      <c r="X55" s="53">
        <f t="shared" si="19"/>
        <v>20000</v>
      </c>
      <c r="Y55" s="238"/>
    </row>
    <row r="56" spans="1:25">
      <c r="A56" s="193" t="s">
        <v>268</v>
      </c>
      <c r="B56" s="194" t="s">
        <v>179</v>
      </c>
      <c r="C56" s="195"/>
      <c r="D56" s="274"/>
      <c r="E56" s="274">
        <v>0</v>
      </c>
      <c r="F56" s="274"/>
      <c r="G56" s="274">
        <v>0</v>
      </c>
      <c r="H56" s="274"/>
      <c r="I56" s="274">
        <v>0</v>
      </c>
      <c r="J56" s="274">
        <v>0</v>
      </c>
      <c r="K56" s="274">
        <f>I57</f>
        <v>30288</v>
      </c>
      <c r="L56" s="274"/>
      <c r="M56" s="277"/>
      <c r="N56" s="278">
        <v>0</v>
      </c>
      <c r="O56" s="278"/>
      <c r="P56" s="278">
        <f t="shared" si="1"/>
        <v>0</v>
      </c>
      <c r="Q56" s="243"/>
      <c r="R56" s="278">
        <f t="shared" si="3"/>
        <v>0</v>
      </c>
      <c r="S56" s="277"/>
      <c r="T56" s="238"/>
      <c r="U56" s="238"/>
      <c r="V56" s="238"/>
      <c r="W56" s="53">
        <f>U56+V56</f>
        <v>0</v>
      </c>
      <c r="X56" s="53">
        <f>T56+W56</f>
        <v>0</v>
      </c>
      <c r="Y56" s="238"/>
    </row>
    <row r="57" spans="1:25" ht="20.85" customHeight="1">
      <c r="A57" s="284">
        <v>112</v>
      </c>
      <c r="B57" s="285" t="s">
        <v>269</v>
      </c>
      <c r="C57" s="286">
        <f>546000+30000</f>
        <v>576000</v>
      </c>
      <c r="D57" s="286">
        <v>423750</v>
      </c>
      <c r="E57" s="286">
        <v>187575</v>
      </c>
      <c r="F57" s="286">
        <f>SUM(F49:F55)</f>
        <v>122084</v>
      </c>
      <c r="G57" s="286">
        <f>SUM(G49:G55)</f>
        <v>127085</v>
      </c>
      <c r="H57" s="287" t="s">
        <v>270</v>
      </c>
      <c r="I57" s="286">
        <f t="shared" ref="I57:K57" si="21">SUM(I49:I56)</f>
        <v>30288</v>
      </c>
      <c r="J57" s="286">
        <f t="shared" si="21"/>
        <v>109294</v>
      </c>
      <c r="K57" s="286">
        <f t="shared" si="21"/>
        <v>139582</v>
      </c>
      <c r="L57" s="286">
        <f>E57+G57+K57</f>
        <v>454242</v>
      </c>
      <c r="M57" s="288"/>
      <c r="N57" s="289">
        <f t="shared" ref="N57:O57" si="22">SUM(N49:N56)</f>
        <v>30288</v>
      </c>
      <c r="O57" s="289">
        <f t="shared" si="22"/>
        <v>152627</v>
      </c>
      <c r="P57" s="289">
        <f>SUM(P49:P56)</f>
        <v>182915</v>
      </c>
      <c r="Q57" s="289"/>
      <c r="R57" s="289">
        <f t="shared" si="3"/>
        <v>182915</v>
      </c>
      <c r="S57" s="288"/>
      <c r="T57" s="290">
        <f t="shared" ref="T57:Y57" si="23">SUM(T49:T56)</f>
        <v>177000</v>
      </c>
      <c r="U57" s="290">
        <f t="shared" si="23"/>
        <v>30000</v>
      </c>
      <c r="V57" s="290">
        <f t="shared" si="23"/>
        <v>162000</v>
      </c>
      <c r="W57" s="290">
        <f t="shared" si="23"/>
        <v>192000</v>
      </c>
      <c r="X57" s="290">
        <f t="shared" si="23"/>
        <v>289000</v>
      </c>
      <c r="Y57" s="290">
        <f t="shared" si="23"/>
        <v>0</v>
      </c>
    </row>
    <row r="58" spans="1:25">
      <c r="A58" s="193">
        <f t="shared" si="0"/>
        <v>113</v>
      </c>
      <c r="B58" s="194"/>
      <c r="C58" s="195"/>
      <c r="D58" s="49"/>
      <c r="E58" s="49"/>
      <c r="F58" s="49"/>
      <c r="G58" s="49"/>
      <c r="H58" s="49"/>
      <c r="I58" s="49"/>
      <c r="J58" s="49"/>
      <c r="K58" s="49"/>
      <c r="L58" s="49"/>
      <c r="M58" s="46"/>
      <c r="N58" s="44"/>
      <c r="O58" s="44"/>
      <c r="P58" s="44">
        <f t="shared" si="1"/>
        <v>0</v>
      </c>
      <c r="Q58" s="243"/>
      <c r="R58" s="44">
        <f t="shared" si="3"/>
        <v>0</v>
      </c>
      <c r="S58" s="46"/>
      <c r="T58" s="238"/>
      <c r="U58" s="238"/>
      <c r="V58" s="238"/>
      <c r="W58" s="238"/>
      <c r="X58" s="238"/>
      <c r="Y58" s="239"/>
    </row>
    <row r="59" spans="1:25">
      <c r="A59" s="193">
        <f t="shared" si="0"/>
        <v>114</v>
      </c>
      <c r="B59" s="245" t="s">
        <v>271</v>
      </c>
      <c r="C59" s="195"/>
      <c r="D59" s="49"/>
      <c r="E59" s="49"/>
      <c r="F59" s="49"/>
      <c r="G59" s="49"/>
      <c r="H59" s="49"/>
      <c r="I59" s="49"/>
      <c r="J59" s="49"/>
      <c r="K59" s="49"/>
      <c r="L59" s="49"/>
      <c r="M59" s="46"/>
      <c r="N59" s="44"/>
      <c r="O59" s="44"/>
      <c r="P59" s="44">
        <f t="shared" si="1"/>
        <v>0</v>
      </c>
      <c r="Q59" s="243"/>
      <c r="R59" s="44">
        <f t="shared" si="3"/>
        <v>0</v>
      </c>
      <c r="S59" s="46"/>
      <c r="T59" s="238"/>
      <c r="U59" s="238"/>
      <c r="V59" s="238"/>
      <c r="W59" s="238"/>
      <c r="X59" s="238"/>
      <c r="Y59" s="239"/>
    </row>
    <row r="60" spans="1:25" s="292" customFormat="1">
      <c r="A60" s="193">
        <f t="shared" si="0"/>
        <v>115</v>
      </c>
      <c r="B60" s="194" t="s">
        <v>272</v>
      </c>
      <c r="C60" s="195"/>
      <c r="D60" s="274">
        <v>40000</v>
      </c>
      <c r="E60" s="274"/>
      <c r="F60" s="274">
        <v>20000</v>
      </c>
      <c r="G60" s="274">
        <v>7500</v>
      </c>
      <c r="H60" s="274" t="s">
        <v>273</v>
      </c>
      <c r="I60" s="274"/>
      <c r="J60" s="274"/>
      <c r="K60" s="274"/>
      <c r="L60" s="274"/>
      <c r="M60" s="277"/>
      <c r="N60" s="278"/>
      <c r="O60" s="278"/>
      <c r="P60" s="278">
        <f t="shared" si="1"/>
        <v>0</v>
      </c>
      <c r="Q60" s="291" t="s">
        <v>274</v>
      </c>
      <c r="R60" s="278">
        <f t="shared" si="3"/>
        <v>0</v>
      </c>
      <c r="S60" s="277"/>
      <c r="T60" s="238">
        <v>50000</v>
      </c>
      <c r="U60" s="248"/>
      <c r="V60" s="238">
        <v>50000</v>
      </c>
      <c r="W60" s="53">
        <f t="shared" ref="W60:W66" si="24">U60+V60</f>
        <v>50000</v>
      </c>
      <c r="X60" s="53">
        <f t="shared" ref="X60:X66" si="25">T60+W60</f>
        <v>100000</v>
      </c>
      <c r="Y60" s="238" t="s">
        <v>275</v>
      </c>
    </row>
    <row r="61" spans="1:25" ht="28.5">
      <c r="A61" s="193">
        <f t="shared" si="0"/>
        <v>116</v>
      </c>
      <c r="B61" s="194" t="s">
        <v>276</v>
      </c>
      <c r="C61" s="195"/>
      <c r="D61" s="274">
        <v>60000</v>
      </c>
      <c r="E61" s="274"/>
      <c r="F61" s="274"/>
      <c r="G61" s="274"/>
      <c r="H61" s="274"/>
      <c r="I61" s="274"/>
      <c r="J61" s="274">
        <v>60000</v>
      </c>
      <c r="K61" s="274">
        <f>J61</f>
        <v>60000</v>
      </c>
      <c r="L61" s="274"/>
      <c r="M61" s="277"/>
      <c r="N61" s="278"/>
      <c r="O61" s="278">
        <v>65000</v>
      </c>
      <c r="P61" s="278">
        <f t="shared" si="1"/>
        <v>65000</v>
      </c>
      <c r="Q61" s="250" t="s">
        <v>277</v>
      </c>
      <c r="R61" s="278">
        <f t="shared" si="3"/>
        <v>65000</v>
      </c>
      <c r="S61" s="277"/>
      <c r="T61" s="238"/>
      <c r="U61" s="238"/>
      <c r="V61" s="238">
        <v>65000</v>
      </c>
      <c r="W61" s="53">
        <f t="shared" si="24"/>
        <v>65000</v>
      </c>
      <c r="X61" s="53">
        <f t="shared" si="25"/>
        <v>65000</v>
      </c>
      <c r="Y61" s="238"/>
    </row>
    <row r="62" spans="1:25" ht="35.25" customHeight="1">
      <c r="A62" s="193">
        <f t="shared" si="0"/>
        <v>117</v>
      </c>
      <c r="B62" s="194" t="s">
        <v>278</v>
      </c>
      <c r="C62" s="195"/>
      <c r="D62" s="274">
        <v>120000</v>
      </c>
      <c r="E62" s="274"/>
      <c r="F62" s="274">
        <v>30000</v>
      </c>
      <c r="G62" s="274">
        <v>10000</v>
      </c>
      <c r="H62" s="276" t="s">
        <v>279</v>
      </c>
      <c r="I62" s="274"/>
      <c r="J62" s="274">
        <v>40000</v>
      </c>
      <c r="K62" s="274">
        <f t="shared" ref="K62:K65" si="26">J62</f>
        <v>40000</v>
      </c>
      <c r="L62" s="274"/>
      <c r="M62" s="277"/>
      <c r="N62" s="278"/>
      <c r="O62" s="278">
        <v>50000</v>
      </c>
      <c r="P62" s="278">
        <f t="shared" si="1"/>
        <v>50000</v>
      </c>
      <c r="Q62" s="250" t="s">
        <v>280</v>
      </c>
      <c r="R62" s="278">
        <f t="shared" si="3"/>
        <v>50000</v>
      </c>
      <c r="S62" s="277"/>
      <c r="T62" s="238">
        <v>40000</v>
      </c>
      <c r="U62" s="238"/>
      <c r="V62" s="238">
        <v>30000</v>
      </c>
      <c r="W62" s="53">
        <f t="shared" si="24"/>
        <v>30000</v>
      </c>
      <c r="X62" s="53">
        <f t="shared" si="25"/>
        <v>70000</v>
      </c>
      <c r="Y62" s="238" t="s">
        <v>280</v>
      </c>
    </row>
    <row r="63" spans="1:25">
      <c r="A63" s="193">
        <f t="shared" si="0"/>
        <v>118</v>
      </c>
      <c r="B63" s="194" t="s">
        <v>267</v>
      </c>
      <c r="C63" s="195"/>
      <c r="D63" s="274">
        <v>30000</v>
      </c>
      <c r="E63" s="274"/>
      <c r="F63" s="274">
        <v>10000</v>
      </c>
      <c r="G63" s="274">
        <v>0</v>
      </c>
      <c r="H63" s="274"/>
      <c r="I63" s="274"/>
      <c r="J63" s="274">
        <v>10000</v>
      </c>
      <c r="K63" s="274">
        <f t="shared" si="26"/>
        <v>10000</v>
      </c>
      <c r="L63" s="274"/>
      <c r="M63" s="277"/>
      <c r="N63" s="278"/>
      <c r="O63" s="278">
        <v>15000</v>
      </c>
      <c r="P63" s="278">
        <f t="shared" si="1"/>
        <v>15000</v>
      </c>
      <c r="Q63" s="250"/>
      <c r="R63" s="278">
        <f t="shared" si="3"/>
        <v>15000</v>
      </c>
      <c r="S63" s="277"/>
      <c r="T63" s="238">
        <v>15000</v>
      </c>
      <c r="U63" s="238"/>
      <c r="V63" s="238">
        <v>15000</v>
      </c>
      <c r="W63" s="53">
        <f t="shared" si="24"/>
        <v>15000</v>
      </c>
      <c r="X63" s="53">
        <f t="shared" si="25"/>
        <v>30000</v>
      </c>
      <c r="Y63" s="238"/>
    </row>
    <row r="64" spans="1:25">
      <c r="A64" s="193">
        <f t="shared" si="0"/>
        <v>119</v>
      </c>
      <c r="B64" s="194" t="s">
        <v>281</v>
      </c>
      <c r="C64" s="195"/>
      <c r="D64" s="274">
        <v>98750</v>
      </c>
      <c r="E64" s="274"/>
      <c r="F64" s="274">
        <v>32000</v>
      </c>
      <c r="G64" s="274">
        <v>20000</v>
      </c>
      <c r="H64" s="274"/>
      <c r="I64" s="274">
        <v>20288</v>
      </c>
      <c r="J64" s="274">
        <v>14462</v>
      </c>
      <c r="K64" s="274">
        <f t="shared" si="26"/>
        <v>14462</v>
      </c>
      <c r="L64" s="274"/>
      <c r="M64" s="277"/>
      <c r="N64" s="278">
        <v>20288</v>
      </c>
      <c r="O64" s="278">
        <v>17628</v>
      </c>
      <c r="P64" s="278">
        <f t="shared" si="1"/>
        <v>37916</v>
      </c>
      <c r="Q64" s="293" t="s">
        <v>262</v>
      </c>
      <c r="R64" s="278">
        <f t="shared" si="3"/>
        <v>37916</v>
      </c>
      <c r="S64" s="277"/>
      <c r="T64" s="238">
        <v>17000</v>
      </c>
      <c r="U64" s="238">
        <v>20000</v>
      </c>
      <c r="V64" s="238">
        <v>17000</v>
      </c>
      <c r="W64" s="53">
        <f t="shared" si="24"/>
        <v>37000</v>
      </c>
      <c r="X64" s="53">
        <f t="shared" si="25"/>
        <v>54000</v>
      </c>
      <c r="Y64" s="238" t="s">
        <v>262</v>
      </c>
    </row>
    <row r="65" spans="1:25">
      <c r="A65" s="193">
        <f t="shared" si="0"/>
        <v>120</v>
      </c>
      <c r="B65" s="194" t="s">
        <v>282</v>
      </c>
      <c r="C65" s="195"/>
      <c r="D65" s="274">
        <v>80000</v>
      </c>
      <c r="E65" s="274"/>
      <c r="F65" s="274">
        <v>25000</v>
      </c>
      <c r="G65" s="274">
        <v>15000</v>
      </c>
      <c r="H65" s="274" t="s">
        <v>168</v>
      </c>
      <c r="I65" s="274">
        <v>5000</v>
      </c>
      <c r="J65" s="274">
        <v>23000</v>
      </c>
      <c r="K65" s="274">
        <f t="shared" si="26"/>
        <v>23000</v>
      </c>
      <c r="L65" s="274"/>
      <c r="M65" s="277"/>
      <c r="N65" s="278">
        <v>5000</v>
      </c>
      <c r="O65" s="278">
        <v>20000</v>
      </c>
      <c r="P65" s="278">
        <f t="shared" si="1"/>
        <v>25000</v>
      </c>
      <c r="Q65" s="294" t="s">
        <v>264</v>
      </c>
      <c r="R65" s="278">
        <f t="shared" si="3"/>
        <v>25000</v>
      </c>
      <c r="S65" s="277"/>
      <c r="T65" s="238">
        <v>25000</v>
      </c>
      <c r="U65" s="238">
        <v>5000</v>
      </c>
      <c r="V65" s="238">
        <v>25000</v>
      </c>
      <c r="W65" s="53">
        <f t="shared" si="24"/>
        <v>30000</v>
      </c>
      <c r="X65" s="53">
        <f t="shared" si="25"/>
        <v>55000</v>
      </c>
      <c r="Y65" s="238" t="s">
        <v>264</v>
      </c>
    </row>
    <row r="66" spans="1:25">
      <c r="A66" s="193" t="s">
        <v>283</v>
      </c>
      <c r="B66" s="194" t="s">
        <v>179</v>
      </c>
      <c r="C66" s="195"/>
      <c r="D66" s="274"/>
      <c r="E66" s="274"/>
      <c r="F66" s="274"/>
      <c r="G66" s="274"/>
      <c r="H66" s="274"/>
      <c r="I66" s="274"/>
      <c r="J66" s="274"/>
      <c r="K66" s="274">
        <f>I67</f>
        <v>25288</v>
      </c>
      <c r="L66" s="274"/>
      <c r="M66" s="277"/>
      <c r="N66" s="278"/>
      <c r="O66" s="278"/>
      <c r="P66" s="278">
        <f t="shared" si="1"/>
        <v>0</v>
      </c>
      <c r="Q66" s="294"/>
      <c r="R66" s="278">
        <f t="shared" si="3"/>
        <v>0</v>
      </c>
      <c r="S66" s="277"/>
      <c r="T66" s="238"/>
      <c r="U66" s="238"/>
      <c r="V66" s="238"/>
      <c r="W66" s="53">
        <f t="shared" si="24"/>
        <v>0</v>
      </c>
      <c r="X66" s="53">
        <f t="shared" si="25"/>
        <v>0</v>
      </c>
      <c r="Y66" s="238"/>
    </row>
    <row r="67" spans="1:25">
      <c r="A67" s="284">
        <f>A65+1</f>
        <v>121</v>
      </c>
      <c r="B67" s="245" t="s">
        <v>284</v>
      </c>
      <c r="C67" s="286">
        <f>330000+50000+40000</f>
        <v>420000</v>
      </c>
      <c r="D67" s="295">
        <v>428750</v>
      </c>
      <c r="E67" s="295">
        <v>150942</v>
      </c>
      <c r="F67" s="295">
        <f t="shared" ref="F67:G67" si="27">SUM(F60:F65)</f>
        <v>117000</v>
      </c>
      <c r="G67" s="295">
        <f t="shared" si="27"/>
        <v>52500</v>
      </c>
      <c r="H67" s="295" t="s">
        <v>285</v>
      </c>
      <c r="I67" s="295">
        <f t="shared" ref="I67:K67" si="28">SUM(I60:I66)</f>
        <v>25288</v>
      </c>
      <c r="J67" s="295">
        <f t="shared" si="28"/>
        <v>147462</v>
      </c>
      <c r="K67" s="295">
        <f t="shared" si="28"/>
        <v>172750</v>
      </c>
      <c r="L67" s="295">
        <f>E67+G67+K67</f>
        <v>376192</v>
      </c>
      <c r="M67" s="296"/>
      <c r="N67" s="297">
        <f t="shared" ref="N67:P67" si="29">SUM(N60:N66)</f>
        <v>25288</v>
      </c>
      <c r="O67" s="297">
        <f t="shared" si="29"/>
        <v>167628</v>
      </c>
      <c r="P67" s="297">
        <f t="shared" si="29"/>
        <v>192916</v>
      </c>
      <c r="Q67" s="298"/>
      <c r="R67" s="297">
        <f t="shared" si="3"/>
        <v>192916</v>
      </c>
      <c r="S67" s="296"/>
      <c r="T67" s="299">
        <f>SUM(T60:T66)</f>
        <v>147000</v>
      </c>
      <c r="U67" s="299">
        <f>SUM(U60:U66)</f>
        <v>25000</v>
      </c>
      <c r="V67" s="299">
        <f>SUM(V60:V66)</f>
        <v>202000</v>
      </c>
      <c r="W67" s="299">
        <f>SUM(W60:W66)</f>
        <v>227000</v>
      </c>
      <c r="X67" s="299">
        <f>SUM(X60:X66)</f>
        <v>374000</v>
      </c>
      <c r="Y67" s="238"/>
    </row>
    <row r="68" spans="1:25">
      <c r="A68" s="193">
        <f t="shared" si="0"/>
        <v>122</v>
      </c>
      <c r="B68" s="194"/>
      <c r="C68" s="195"/>
      <c r="D68" s="49"/>
      <c r="E68" s="49"/>
      <c r="F68" s="49"/>
      <c r="G68" s="49"/>
      <c r="H68" s="49"/>
      <c r="I68" s="49"/>
      <c r="J68" s="49"/>
      <c r="K68" s="49"/>
      <c r="L68" s="56">
        <f t="shared" ref="L68:L69" si="30">E68+G68+K68</f>
        <v>0</v>
      </c>
      <c r="M68" s="46"/>
      <c r="N68" s="44"/>
      <c r="O68" s="44"/>
      <c r="P68" s="44">
        <f t="shared" si="1"/>
        <v>0</v>
      </c>
      <c r="Q68" s="243"/>
      <c r="R68" s="44">
        <f t="shared" si="3"/>
        <v>0</v>
      </c>
      <c r="S68" s="46"/>
      <c r="T68" s="238"/>
      <c r="U68" s="238"/>
      <c r="V68" s="238"/>
      <c r="W68" s="238"/>
      <c r="X68" s="238"/>
      <c r="Y68" s="239"/>
    </row>
    <row r="69" spans="1:25">
      <c r="A69" s="235">
        <f t="shared" si="0"/>
        <v>123</v>
      </c>
      <c r="B69" s="245" t="s">
        <v>286</v>
      </c>
      <c r="C69" s="195"/>
      <c r="D69" s="49"/>
      <c r="E69" s="49"/>
      <c r="F69" s="49"/>
      <c r="G69" s="49"/>
      <c r="H69" s="49"/>
      <c r="I69" s="49"/>
      <c r="J69" s="49"/>
      <c r="K69" s="49"/>
      <c r="L69" s="56">
        <f t="shared" si="30"/>
        <v>0</v>
      </c>
      <c r="M69" s="46"/>
      <c r="N69" s="44"/>
      <c r="O69" s="44"/>
      <c r="P69" s="44">
        <f t="shared" si="1"/>
        <v>0</v>
      </c>
      <c r="Q69" s="243"/>
      <c r="R69" s="44">
        <f t="shared" si="3"/>
        <v>0</v>
      </c>
      <c r="S69" s="46"/>
      <c r="T69" s="238"/>
      <c r="U69" s="238"/>
      <c r="V69" s="238"/>
      <c r="W69" s="238"/>
      <c r="X69" s="238"/>
      <c r="Y69" s="239"/>
    </row>
    <row r="70" spans="1:25" s="292" customFormat="1" ht="42.75">
      <c r="A70" s="193">
        <f t="shared" si="0"/>
        <v>124</v>
      </c>
      <c r="B70" s="194" t="s">
        <v>287</v>
      </c>
      <c r="C70" s="195"/>
      <c r="D70" s="274">
        <v>110000</v>
      </c>
      <c r="E70" s="274"/>
      <c r="F70" s="274">
        <v>30000</v>
      </c>
      <c r="G70" s="274">
        <v>30000</v>
      </c>
      <c r="H70" s="274" t="s">
        <v>288</v>
      </c>
      <c r="I70" s="274"/>
      <c r="J70" s="274">
        <v>30000</v>
      </c>
      <c r="K70" s="274">
        <f>J70</f>
        <v>30000</v>
      </c>
      <c r="L70" s="274"/>
      <c r="M70" s="277"/>
      <c r="N70" s="278"/>
      <c r="O70" s="278">
        <v>25000</v>
      </c>
      <c r="P70" s="278">
        <f t="shared" si="1"/>
        <v>25000</v>
      </c>
      <c r="Q70" s="294" t="s">
        <v>289</v>
      </c>
      <c r="R70" s="278">
        <f t="shared" si="3"/>
        <v>25000</v>
      </c>
      <c r="S70" s="277"/>
      <c r="T70" s="248">
        <v>24000</v>
      </c>
      <c r="U70" s="248"/>
      <c r="V70" s="248">
        <v>24000</v>
      </c>
      <c r="W70" s="53">
        <f t="shared" ref="W70:W85" si="31">U70+V70</f>
        <v>24000</v>
      </c>
      <c r="X70" s="53">
        <f t="shared" ref="X70:X85" si="32">T70+W70</f>
        <v>48000</v>
      </c>
      <c r="Y70" s="248" t="s">
        <v>289</v>
      </c>
    </row>
    <row r="71" spans="1:25" ht="42.75">
      <c r="A71" s="193" t="s">
        <v>290</v>
      </c>
      <c r="B71" s="261" t="s">
        <v>291</v>
      </c>
      <c r="C71" s="195"/>
      <c r="D71" s="274">
        <v>30000</v>
      </c>
      <c r="E71" s="274"/>
      <c r="F71" s="274">
        <v>10000</v>
      </c>
      <c r="G71" s="274">
        <v>10000</v>
      </c>
      <c r="H71" s="276" t="s">
        <v>292</v>
      </c>
      <c r="I71" s="274"/>
      <c r="J71" s="274">
        <v>8000</v>
      </c>
      <c r="K71" s="274">
        <f t="shared" ref="K71:K84" si="33">J71</f>
        <v>8000</v>
      </c>
      <c r="L71" s="274"/>
      <c r="M71" s="277"/>
      <c r="N71" s="278"/>
      <c r="O71" s="278">
        <v>30000</v>
      </c>
      <c r="P71" s="278">
        <f t="shared" si="1"/>
        <v>30000</v>
      </c>
      <c r="Q71" s="300" t="s">
        <v>293</v>
      </c>
      <c r="R71" s="278">
        <f t="shared" si="3"/>
        <v>30000</v>
      </c>
      <c r="S71" s="277"/>
      <c r="T71" s="238">
        <v>20000</v>
      </c>
      <c r="U71" s="238"/>
      <c r="V71" s="238">
        <v>20000</v>
      </c>
      <c r="W71" s="53">
        <f t="shared" si="31"/>
        <v>20000</v>
      </c>
      <c r="X71" s="53">
        <f t="shared" si="32"/>
        <v>40000</v>
      </c>
      <c r="Y71" s="238" t="s">
        <v>294</v>
      </c>
    </row>
    <row r="72" spans="1:25" ht="28.5">
      <c r="A72" s="193" t="s">
        <v>295</v>
      </c>
      <c r="B72" s="301" t="s">
        <v>296</v>
      </c>
      <c r="C72" s="195"/>
      <c r="D72" s="274"/>
      <c r="E72" s="274"/>
      <c r="F72" s="274"/>
      <c r="G72" s="274"/>
      <c r="H72" s="276"/>
      <c r="I72" s="274"/>
      <c r="J72" s="274"/>
      <c r="K72" s="274"/>
      <c r="L72" s="274"/>
      <c r="M72" s="277"/>
      <c r="N72" s="278"/>
      <c r="O72" s="278">
        <v>4000</v>
      </c>
      <c r="P72" s="278">
        <f t="shared" si="1"/>
        <v>4000</v>
      </c>
      <c r="Q72" s="302" t="s">
        <v>297</v>
      </c>
      <c r="R72" s="278">
        <f t="shared" si="3"/>
        <v>4000</v>
      </c>
      <c r="S72" s="277"/>
      <c r="T72" s="238"/>
      <c r="U72" s="238"/>
      <c r="V72" s="238"/>
      <c r="W72" s="53"/>
      <c r="X72" s="53"/>
      <c r="Y72" s="238" t="s">
        <v>297</v>
      </c>
    </row>
    <row r="73" spans="1:25" ht="47.25">
      <c r="A73" s="193" t="s">
        <v>298</v>
      </c>
      <c r="B73" s="303" t="s">
        <v>299</v>
      </c>
      <c r="C73" s="195"/>
      <c r="D73" s="274"/>
      <c r="E73" s="274"/>
      <c r="F73" s="274"/>
      <c r="G73" s="274"/>
      <c r="H73" s="276"/>
      <c r="I73" s="274"/>
      <c r="J73" s="274"/>
      <c r="K73" s="274"/>
      <c r="L73" s="274"/>
      <c r="M73" s="277"/>
      <c r="N73" s="278"/>
      <c r="O73" s="278">
        <v>5500</v>
      </c>
      <c r="P73" s="278">
        <f t="shared" ref="P73:P85" si="34">N73+O73</f>
        <v>5500</v>
      </c>
      <c r="Q73" s="302" t="s">
        <v>300</v>
      </c>
      <c r="R73" s="278">
        <f t="shared" ref="R73:R122" si="35">P73</f>
        <v>5500</v>
      </c>
      <c r="S73" s="277"/>
      <c r="T73" s="238">
        <v>5000</v>
      </c>
      <c r="U73" s="238"/>
      <c r="V73" s="238">
        <v>5000</v>
      </c>
      <c r="W73" s="53">
        <f t="shared" si="31"/>
        <v>5000</v>
      </c>
      <c r="X73" s="53">
        <f t="shared" si="32"/>
        <v>10000</v>
      </c>
      <c r="Y73" s="238" t="s">
        <v>300</v>
      </c>
    </row>
    <row r="74" spans="1:25" ht="15.75">
      <c r="A74" s="193" t="s">
        <v>301</v>
      </c>
      <c r="B74" s="304" t="s">
        <v>302</v>
      </c>
      <c r="C74" s="195"/>
      <c r="D74" s="274"/>
      <c r="E74" s="274"/>
      <c r="F74" s="274"/>
      <c r="G74" s="274"/>
      <c r="H74" s="276"/>
      <c r="I74" s="274"/>
      <c r="J74" s="274"/>
      <c r="K74" s="274"/>
      <c r="L74" s="274"/>
      <c r="M74" s="277"/>
      <c r="N74" s="278"/>
      <c r="O74" s="278">
        <v>25000</v>
      </c>
      <c r="P74" s="278">
        <f t="shared" si="34"/>
        <v>25000</v>
      </c>
      <c r="Q74" s="302" t="s">
        <v>303</v>
      </c>
      <c r="R74" s="278">
        <f t="shared" si="35"/>
        <v>25000</v>
      </c>
      <c r="S74" s="277"/>
      <c r="T74" s="238">
        <v>25000</v>
      </c>
      <c r="U74" s="238"/>
      <c r="V74" s="238">
        <v>25000</v>
      </c>
      <c r="W74" s="53">
        <f t="shared" si="31"/>
        <v>25000</v>
      </c>
      <c r="X74" s="53">
        <f t="shared" si="32"/>
        <v>50000</v>
      </c>
      <c r="Y74" s="238" t="s">
        <v>303</v>
      </c>
    </row>
    <row r="75" spans="1:25" ht="31.5">
      <c r="A75" s="193" t="s">
        <v>304</v>
      </c>
      <c r="B75" s="261" t="s">
        <v>305</v>
      </c>
      <c r="C75" s="195"/>
      <c r="D75" s="274"/>
      <c r="E75" s="274"/>
      <c r="F75" s="274"/>
      <c r="G75" s="274"/>
      <c r="H75" s="276"/>
      <c r="I75" s="274"/>
      <c r="J75" s="274"/>
      <c r="K75" s="274"/>
      <c r="L75" s="274"/>
      <c r="M75" s="277"/>
      <c r="N75" s="278"/>
      <c r="O75" s="278">
        <v>3500</v>
      </c>
      <c r="P75" s="278">
        <f t="shared" si="34"/>
        <v>3500</v>
      </c>
      <c r="Q75" s="302" t="s">
        <v>306</v>
      </c>
      <c r="R75" s="278">
        <f t="shared" si="35"/>
        <v>3500</v>
      </c>
      <c r="S75" s="277"/>
      <c r="T75" s="238">
        <v>3500</v>
      </c>
      <c r="U75" s="238"/>
      <c r="V75" s="238">
        <v>3500</v>
      </c>
      <c r="W75" s="53">
        <f t="shared" si="31"/>
        <v>3500</v>
      </c>
      <c r="X75" s="53">
        <f t="shared" si="32"/>
        <v>7000</v>
      </c>
      <c r="Y75" s="238" t="s">
        <v>306</v>
      </c>
    </row>
    <row r="76" spans="1:25" ht="28.5">
      <c r="A76" s="193" t="s">
        <v>307</v>
      </c>
      <c r="B76" s="261" t="s">
        <v>308</v>
      </c>
      <c r="C76" s="195"/>
      <c r="D76" s="274">
        <v>30000</v>
      </c>
      <c r="E76" s="274"/>
      <c r="F76" s="274">
        <v>0</v>
      </c>
      <c r="G76" s="274"/>
      <c r="H76" s="274" t="s">
        <v>309</v>
      </c>
      <c r="I76" s="274"/>
      <c r="J76" s="274">
        <v>15000</v>
      </c>
      <c r="K76" s="274">
        <f t="shared" si="33"/>
        <v>15000</v>
      </c>
      <c r="L76" s="274"/>
      <c r="M76" s="277"/>
      <c r="N76" s="278"/>
      <c r="O76" s="278">
        <v>6000</v>
      </c>
      <c r="P76" s="278">
        <f t="shared" si="34"/>
        <v>6000</v>
      </c>
      <c r="Q76" s="294" t="s">
        <v>310</v>
      </c>
      <c r="R76" s="278">
        <f t="shared" si="35"/>
        <v>6000</v>
      </c>
      <c r="S76" s="277"/>
      <c r="T76" s="238">
        <v>6000</v>
      </c>
      <c r="U76" s="238"/>
      <c r="V76" s="238">
        <v>6000</v>
      </c>
      <c r="W76" s="53">
        <f t="shared" si="31"/>
        <v>6000</v>
      </c>
      <c r="X76" s="53">
        <f t="shared" si="32"/>
        <v>12000</v>
      </c>
      <c r="Y76" s="238" t="s">
        <v>310</v>
      </c>
    </row>
    <row r="77" spans="1:25">
      <c r="A77" s="193" t="s">
        <v>311</v>
      </c>
      <c r="B77" s="261" t="s">
        <v>312</v>
      </c>
      <c r="C77" s="195"/>
      <c r="D77" s="274"/>
      <c r="E77" s="274"/>
      <c r="F77" s="274"/>
      <c r="G77" s="274"/>
      <c r="H77" s="274"/>
      <c r="I77" s="274"/>
      <c r="J77" s="274"/>
      <c r="K77" s="274"/>
      <c r="L77" s="274"/>
      <c r="M77" s="277"/>
      <c r="N77" s="278"/>
      <c r="O77" s="278">
        <v>15000</v>
      </c>
      <c r="P77" s="278">
        <f t="shared" si="34"/>
        <v>15000</v>
      </c>
      <c r="Q77" s="294" t="s">
        <v>313</v>
      </c>
      <c r="R77" s="278">
        <f t="shared" si="35"/>
        <v>15000</v>
      </c>
      <c r="S77" s="277"/>
      <c r="T77" s="238">
        <v>15000</v>
      </c>
      <c r="U77" s="238"/>
      <c r="V77" s="238">
        <v>15000</v>
      </c>
      <c r="W77" s="53">
        <f t="shared" si="31"/>
        <v>15000</v>
      </c>
      <c r="X77" s="53">
        <f t="shared" si="32"/>
        <v>30000</v>
      </c>
      <c r="Y77" s="238" t="s">
        <v>313</v>
      </c>
    </row>
    <row r="78" spans="1:25" ht="15.75">
      <c r="A78" s="193" t="s">
        <v>314</v>
      </c>
      <c r="B78" s="305" t="s">
        <v>315</v>
      </c>
      <c r="C78" s="195"/>
      <c r="D78" s="274">
        <v>15000</v>
      </c>
      <c r="E78" s="274"/>
      <c r="F78" s="274"/>
      <c r="G78" s="274"/>
      <c r="H78" s="274"/>
      <c r="I78" s="274"/>
      <c r="J78" s="274"/>
      <c r="K78" s="274">
        <f t="shared" si="33"/>
        <v>0</v>
      </c>
      <c r="L78" s="274"/>
      <c r="M78" s="277"/>
      <c r="N78" s="278"/>
      <c r="O78" s="278">
        <v>0</v>
      </c>
      <c r="P78" s="278">
        <f t="shared" si="34"/>
        <v>0</v>
      </c>
      <c r="Q78" s="294" t="s">
        <v>316</v>
      </c>
      <c r="R78" s="278">
        <f t="shared" si="35"/>
        <v>0</v>
      </c>
      <c r="S78" s="277"/>
      <c r="T78" s="238">
        <v>70000</v>
      </c>
      <c r="U78" s="238"/>
      <c r="V78" s="238"/>
      <c r="W78" s="53">
        <f t="shared" si="31"/>
        <v>0</v>
      </c>
      <c r="X78" s="53">
        <f t="shared" si="32"/>
        <v>70000</v>
      </c>
      <c r="Y78" s="238" t="s">
        <v>1117</v>
      </c>
    </row>
    <row r="79" spans="1:25" ht="31.5">
      <c r="A79" s="193" t="s">
        <v>317</v>
      </c>
      <c r="B79" s="306" t="s">
        <v>318</v>
      </c>
      <c r="C79" s="195"/>
      <c r="D79" s="274"/>
      <c r="E79" s="274"/>
      <c r="F79" s="274"/>
      <c r="G79" s="274"/>
      <c r="H79" s="274"/>
      <c r="I79" s="274"/>
      <c r="J79" s="274"/>
      <c r="K79" s="274"/>
      <c r="L79" s="274"/>
      <c r="M79" s="277"/>
      <c r="N79" s="278"/>
      <c r="O79" s="278">
        <v>3500</v>
      </c>
      <c r="P79" s="278">
        <f t="shared" si="34"/>
        <v>3500</v>
      </c>
      <c r="Q79" s="294" t="s">
        <v>319</v>
      </c>
      <c r="R79" s="278">
        <f t="shared" si="35"/>
        <v>3500</v>
      </c>
      <c r="S79" s="277"/>
      <c r="T79" s="238">
        <v>3500</v>
      </c>
      <c r="U79" s="238"/>
      <c r="V79" s="238">
        <v>3500</v>
      </c>
      <c r="W79" s="53">
        <f t="shared" si="31"/>
        <v>3500</v>
      </c>
      <c r="X79" s="53">
        <f t="shared" si="32"/>
        <v>7000</v>
      </c>
      <c r="Y79" s="238"/>
    </row>
    <row r="80" spans="1:25" ht="15.75">
      <c r="A80" s="193">
        <v>128</v>
      </c>
      <c r="B80" s="306" t="s">
        <v>263</v>
      </c>
      <c r="C80" s="195"/>
      <c r="D80" s="274">
        <v>50000</v>
      </c>
      <c r="E80" s="274"/>
      <c r="F80" s="274">
        <v>60000</v>
      </c>
      <c r="G80" s="274">
        <v>6000</v>
      </c>
      <c r="H80" s="274" t="s">
        <v>320</v>
      </c>
      <c r="I80" s="274"/>
      <c r="J80" s="274">
        <v>30000</v>
      </c>
      <c r="K80" s="274">
        <f t="shared" si="33"/>
        <v>30000</v>
      </c>
      <c r="L80" s="274"/>
      <c r="M80" s="277"/>
      <c r="N80" s="278">
        <v>5000</v>
      </c>
      <c r="O80" s="278">
        <v>25000</v>
      </c>
      <c r="P80" s="278">
        <f t="shared" si="34"/>
        <v>30000</v>
      </c>
      <c r="Q80" s="307" t="s">
        <v>264</v>
      </c>
      <c r="R80" s="278">
        <f t="shared" si="35"/>
        <v>30000</v>
      </c>
      <c r="S80" s="277"/>
      <c r="T80" s="238">
        <v>25000</v>
      </c>
      <c r="U80" s="238">
        <v>5000</v>
      </c>
      <c r="V80" s="238">
        <v>25000</v>
      </c>
      <c r="W80" s="53">
        <f t="shared" si="31"/>
        <v>30000</v>
      </c>
      <c r="X80" s="53">
        <f t="shared" si="32"/>
        <v>55000</v>
      </c>
      <c r="Y80" s="238" t="s">
        <v>264</v>
      </c>
    </row>
    <row r="81" spans="1:25" ht="28.5">
      <c r="A81" s="193">
        <f t="shared" ref="A81:A121" si="36">A80+1</f>
        <v>129</v>
      </c>
      <c r="B81" s="194" t="s">
        <v>281</v>
      </c>
      <c r="C81" s="195"/>
      <c r="D81" s="274">
        <v>15000</v>
      </c>
      <c r="E81" s="274"/>
      <c r="F81" s="274">
        <v>3500</v>
      </c>
      <c r="G81" s="274">
        <v>0</v>
      </c>
      <c r="H81" s="274" t="s">
        <v>309</v>
      </c>
      <c r="I81" s="274"/>
      <c r="J81" s="274">
        <v>3500</v>
      </c>
      <c r="K81" s="274">
        <f t="shared" si="33"/>
        <v>3500</v>
      </c>
      <c r="L81" s="274"/>
      <c r="M81" s="277"/>
      <c r="N81" s="278">
        <v>20288</v>
      </c>
      <c r="O81" s="278">
        <v>17628</v>
      </c>
      <c r="P81" s="278">
        <f t="shared" si="34"/>
        <v>37916</v>
      </c>
      <c r="Q81" s="294" t="s">
        <v>321</v>
      </c>
      <c r="R81" s="278">
        <f t="shared" si="35"/>
        <v>37916</v>
      </c>
      <c r="S81" s="277"/>
      <c r="T81" s="238">
        <v>17000</v>
      </c>
      <c r="U81" s="238">
        <v>20000</v>
      </c>
      <c r="V81" s="238">
        <v>17000</v>
      </c>
      <c r="W81" s="53">
        <f t="shared" si="31"/>
        <v>37000</v>
      </c>
      <c r="X81" s="53">
        <f t="shared" si="32"/>
        <v>54000</v>
      </c>
      <c r="Y81" s="238" t="s">
        <v>321</v>
      </c>
    </row>
    <row r="82" spans="1:25" ht="26.85" customHeight="1">
      <c r="A82" s="193">
        <f t="shared" si="36"/>
        <v>130</v>
      </c>
      <c r="B82" s="194" t="s">
        <v>267</v>
      </c>
      <c r="C82" s="195"/>
      <c r="D82" s="274">
        <v>80000</v>
      </c>
      <c r="E82" s="274"/>
      <c r="F82" s="274">
        <v>26000</v>
      </c>
      <c r="G82" s="274">
        <v>19500</v>
      </c>
      <c r="H82" s="276" t="s">
        <v>322</v>
      </c>
      <c r="I82" s="274">
        <v>5000</v>
      </c>
      <c r="J82" s="274">
        <v>19000</v>
      </c>
      <c r="K82" s="274">
        <f t="shared" si="33"/>
        <v>19000</v>
      </c>
      <c r="L82" s="274"/>
      <c r="M82" s="277"/>
      <c r="N82" s="278"/>
      <c r="O82" s="278">
        <v>15000</v>
      </c>
      <c r="P82" s="278">
        <f t="shared" si="34"/>
        <v>15000</v>
      </c>
      <c r="Q82" s="294" t="s">
        <v>323</v>
      </c>
      <c r="R82" s="278">
        <f t="shared" si="35"/>
        <v>15000</v>
      </c>
      <c r="S82" s="277"/>
      <c r="T82" s="238">
        <v>15000</v>
      </c>
      <c r="U82" s="238"/>
      <c r="V82" s="238">
        <v>15000</v>
      </c>
      <c r="W82" s="53">
        <f t="shared" si="31"/>
        <v>15000</v>
      </c>
      <c r="X82" s="53">
        <f t="shared" si="32"/>
        <v>30000</v>
      </c>
      <c r="Y82" s="238" t="s">
        <v>323</v>
      </c>
    </row>
    <row r="83" spans="1:25">
      <c r="A83" s="193">
        <f t="shared" si="36"/>
        <v>131</v>
      </c>
      <c r="B83" s="194" t="s">
        <v>179</v>
      </c>
      <c r="C83" s="195"/>
      <c r="D83" s="274">
        <v>98750</v>
      </c>
      <c r="E83" s="274"/>
      <c r="F83" s="274">
        <v>32917</v>
      </c>
      <c r="G83" s="274">
        <v>15000</v>
      </c>
      <c r="H83" s="274" t="s">
        <v>324</v>
      </c>
      <c r="I83" s="274">
        <v>20288</v>
      </c>
      <c r="J83" s="274">
        <v>12628</v>
      </c>
      <c r="K83" s="274">
        <f t="shared" si="33"/>
        <v>12628</v>
      </c>
      <c r="L83" s="274">
        <f>E83+G83+K83</f>
        <v>27628</v>
      </c>
      <c r="M83" s="277"/>
      <c r="N83" s="278"/>
      <c r="O83" s="278"/>
      <c r="P83" s="278">
        <f t="shared" si="34"/>
        <v>0</v>
      </c>
      <c r="Q83" s="308"/>
      <c r="R83" s="278">
        <f t="shared" si="35"/>
        <v>0</v>
      </c>
      <c r="S83" s="277"/>
      <c r="T83" s="238"/>
      <c r="U83" s="238"/>
      <c r="V83" s="238"/>
      <c r="W83" s="53">
        <f t="shared" si="31"/>
        <v>0</v>
      </c>
      <c r="X83" s="53">
        <f t="shared" si="32"/>
        <v>0</v>
      </c>
      <c r="Y83" s="238"/>
    </row>
    <row r="84" spans="1:25">
      <c r="A84" s="193" t="s">
        <v>325</v>
      </c>
      <c r="B84" s="194" t="s">
        <v>267</v>
      </c>
      <c r="C84" s="195"/>
      <c r="D84" s="274">
        <v>30000</v>
      </c>
      <c r="E84" s="274"/>
      <c r="F84" s="274">
        <v>12000</v>
      </c>
      <c r="G84" s="274">
        <v>3417</v>
      </c>
      <c r="H84" s="274" t="s">
        <v>326</v>
      </c>
      <c r="I84" s="274"/>
      <c r="J84" s="274">
        <v>6000</v>
      </c>
      <c r="K84" s="274">
        <f t="shared" si="33"/>
        <v>6000</v>
      </c>
      <c r="L84" s="274">
        <f>E84+G84+K84</f>
        <v>9417</v>
      </c>
      <c r="M84" s="277"/>
      <c r="N84" s="278"/>
      <c r="O84" s="278"/>
      <c r="P84" s="278">
        <f t="shared" si="34"/>
        <v>0</v>
      </c>
      <c r="Q84" s="308"/>
      <c r="R84" s="278">
        <f t="shared" si="35"/>
        <v>0</v>
      </c>
      <c r="S84" s="277"/>
      <c r="T84" s="238"/>
      <c r="U84" s="238"/>
      <c r="V84" s="238"/>
      <c r="W84" s="53">
        <f t="shared" si="31"/>
        <v>0</v>
      </c>
      <c r="X84" s="53">
        <f t="shared" si="32"/>
        <v>0</v>
      </c>
      <c r="Y84" s="238"/>
    </row>
    <row r="85" spans="1:25">
      <c r="A85" s="193" t="s">
        <v>327</v>
      </c>
      <c r="B85" s="194" t="s">
        <v>179</v>
      </c>
      <c r="C85" s="195"/>
      <c r="D85" s="274"/>
      <c r="E85" s="274"/>
      <c r="F85" s="274"/>
      <c r="G85" s="274"/>
      <c r="H85" s="274"/>
      <c r="I85" s="274"/>
      <c r="J85" s="274"/>
      <c r="K85" s="274">
        <f>I86</f>
        <v>25288</v>
      </c>
      <c r="L85" s="274">
        <f>E85+G85+K85</f>
        <v>25288</v>
      </c>
      <c r="M85" s="277"/>
      <c r="N85" s="278"/>
      <c r="O85" s="278"/>
      <c r="P85" s="278">
        <f t="shared" si="34"/>
        <v>0</v>
      </c>
      <c r="Q85" s="308"/>
      <c r="R85" s="278">
        <f t="shared" si="35"/>
        <v>0</v>
      </c>
      <c r="S85" s="277"/>
      <c r="T85" s="238"/>
      <c r="U85" s="238"/>
      <c r="V85" s="238"/>
      <c r="W85" s="53">
        <f t="shared" si="31"/>
        <v>0</v>
      </c>
      <c r="X85" s="53">
        <f t="shared" si="32"/>
        <v>0</v>
      </c>
      <c r="Y85" s="238"/>
    </row>
    <row r="86" spans="1:25" ht="20.85" customHeight="1">
      <c r="A86" s="284">
        <v>133</v>
      </c>
      <c r="B86" s="245" t="s">
        <v>328</v>
      </c>
      <c r="C86" s="286">
        <f>330000+148000+40000</f>
        <v>518000</v>
      </c>
      <c r="D86" s="309">
        <v>458750</v>
      </c>
      <c r="E86" s="309">
        <v>188078</v>
      </c>
      <c r="F86" s="309">
        <f>SUM(F70:F84)</f>
        <v>174417</v>
      </c>
      <c r="G86" s="309">
        <f>SUM(G70:G84)</f>
        <v>83917</v>
      </c>
      <c r="H86" s="310" t="s">
        <v>329</v>
      </c>
      <c r="I86" s="309">
        <f t="shared" ref="I86:K86" si="37">SUM(I70:I85)</f>
        <v>25288</v>
      </c>
      <c r="J86" s="309">
        <f t="shared" si="37"/>
        <v>124128</v>
      </c>
      <c r="K86" s="309">
        <f t="shared" si="37"/>
        <v>149416</v>
      </c>
      <c r="L86" s="309">
        <f>E86+G86+K86</f>
        <v>421411</v>
      </c>
      <c r="M86" s="311"/>
      <c r="N86" s="312">
        <f>SUM(N70:N85)</f>
        <v>25288</v>
      </c>
      <c r="O86" s="312">
        <f>SUM(O70:O85)</f>
        <v>175128</v>
      </c>
      <c r="P86" s="312">
        <f>SUM(P70:P85)</f>
        <v>200416</v>
      </c>
      <c r="Q86" s="313"/>
      <c r="R86" s="312">
        <f t="shared" si="35"/>
        <v>200416</v>
      </c>
      <c r="S86" s="311"/>
      <c r="T86" s="314">
        <f t="shared" ref="T86:Y86" si="38">SUM(T70:T85)</f>
        <v>229000</v>
      </c>
      <c r="U86" s="314">
        <f t="shared" si="38"/>
        <v>25000</v>
      </c>
      <c r="V86" s="314">
        <f t="shared" si="38"/>
        <v>159000</v>
      </c>
      <c r="W86" s="314">
        <f t="shared" si="38"/>
        <v>184000</v>
      </c>
      <c r="X86" s="314">
        <f t="shared" si="38"/>
        <v>413000</v>
      </c>
      <c r="Y86" s="314">
        <f t="shared" si="38"/>
        <v>0</v>
      </c>
    </row>
    <row r="87" spans="1:25">
      <c r="A87" s="193">
        <f t="shared" si="36"/>
        <v>134</v>
      </c>
      <c r="B87" s="194"/>
      <c r="C87" s="195"/>
      <c r="D87" s="49"/>
      <c r="E87" s="49"/>
      <c r="F87" s="49"/>
      <c r="G87" s="49"/>
      <c r="H87" s="49"/>
      <c r="I87" s="49"/>
      <c r="J87" s="49"/>
      <c r="K87" s="49"/>
      <c r="L87" s="56">
        <f t="shared" ref="L87:L95" si="39">E87+G87+K87</f>
        <v>0</v>
      </c>
      <c r="M87" s="46"/>
      <c r="N87" s="44"/>
      <c r="O87" s="44"/>
      <c r="P87" s="44">
        <f t="shared" ref="P87:P121" si="40">N87+O87</f>
        <v>0</v>
      </c>
      <c r="Q87" s="59"/>
      <c r="R87" s="44">
        <f t="shared" si="35"/>
        <v>0</v>
      </c>
      <c r="S87" s="46"/>
      <c r="T87" s="238"/>
      <c r="U87" s="238"/>
      <c r="V87" s="238"/>
      <c r="W87" s="238"/>
      <c r="X87" s="238"/>
      <c r="Y87" s="239"/>
    </row>
    <row r="88" spans="1:25">
      <c r="A88" s="235">
        <f t="shared" si="36"/>
        <v>135</v>
      </c>
      <c r="B88" s="245" t="s">
        <v>330</v>
      </c>
      <c r="L88" s="56">
        <f t="shared" si="39"/>
        <v>0</v>
      </c>
      <c r="N88" s="243"/>
      <c r="O88" s="243"/>
      <c r="P88" s="243">
        <f t="shared" si="40"/>
        <v>0</v>
      </c>
      <c r="Q88" s="243"/>
      <c r="R88" s="243">
        <f t="shared" si="35"/>
        <v>0</v>
      </c>
      <c r="T88" s="238"/>
      <c r="U88" s="238"/>
      <c r="V88" s="238"/>
      <c r="W88" s="238"/>
      <c r="X88" s="238"/>
      <c r="Y88" s="239"/>
    </row>
    <row r="89" spans="1:25" s="292" customFormat="1" ht="27">
      <c r="A89" s="193">
        <f t="shared" si="36"/>
        <v>136</v>
      </c>
      <c r="B89" s="315" t="s">
        <v>331</v>
      </c>
      <c r="C89" s="195"/>
      <c r="D89" s="274">
        <v>80000</v>
      </c>
      <c r="E89" s="274"/>
      <c r="F89" s="274">
        <v>15000</v>
      </c>
      <c r="G89" s="274">
        <v>17000</v>
      </c>
      <c r="H89" s="274" t="s">
        <v>332</v>
      </c>
      <c r="I89" s="274"/>
      <c r="J89" s="274">
        <v>15000</v>
      </c>
      <c r="K89" s="274">
        <f>J89</f>
        <v>15000</v>
      </c>
      <c r="L89" s="274">
        <f t="shared" si="39"/>
        <v>32000</v>
      </c>
      <c r="M89" s="277"/>
      <c r="N89" s="278"/>
      <c r="O89" s="278">
        <v>41000</v>
      </c>
      <c r="P89" s="278">
        <f t="shared" si="40"/>
        <v>41000</v>
      </c>
      <c r="Q89" s="308" t="s">
        <v>333</v>
      </c>
      <c r="R89" s="278">
        <f t="shared" si="35"/>
        <v>41000</v>
      </c>
      <c r="S89" s="277"/>
      <c r="T89" s="238">
        <v>60000</v>
      </c>
      <c r="U89" s="238"/>
      <c r="V89" s="238">
        <v>41000</v>
      </c>
      <c r="W89" s="53">
        <f t="shared" ref="W89:W100" si="41">U89+V89</f>
        <v>41000</v>
      </c>
      <c r="X89" s="53">
        <f t="shared" ref="X89:X100" si="42">T89+W89</f>
        <v>101000</v>
      </c>
      <c r="Y89" s="239" t="s">
        <v>334</v>
      </c>
    </row>
    <row r="90" spans="1:25" ht="23.45" customHeight="1">
      <c r="A90" s="193">
        <f t="shared" si="36"/>
        <v>137</v>
      </c>
      <c r="B90" s="316" t="s">
        <v>335</v>
      </c>
      <c r="C90" s="195"/>
      <c r="D90" s="274">
        <v>40000</v>
      </c>
      <c r="E90" s="274"/>
      <c r="F90" s="274">
        <v>15500</v>
      </c>
      <c r="G90" s="274">
        <v>10000</v>
      </c>
      <c r="H90" s="276" t="s">
        <v>336</v>
      </c>
      <c r="I90" s="274"/>
      <c r="J90" s="274"/>
      <c r="K90" s="274">
        <f t="shared" ref="K90:K99" si="43">J90</f>
        <v>0</v>
      </c>
      <c r="L90" s="274">
        <f t="shared" si="39"/>
        <v>10000</v>
      </c>
      <c r="M90" s="277"/>
      <c r="N90" s="278"/>
      <c r="O90" s="278"/>
      <c r="P90" s="278">
        <f t="shared" si="40"/>
        <v>0</v>
      </c>
      <c r="Q90" s="308" t="s">
        <v>337</v>
      </c>
      <c r="R90" s="278">
        <f t="shared" si="35"/>
        <v>0</v>
      </c>
      <c r="S90" s="277"/>
      <c r="T90" s="238"/>
      <c r="U90" s="238"/>
      <c r="V90" s="238"/>
      <c r="W90" s="53">
        <f t="shared" si="41"/>
        <v>0</v>
      </c>
      <c r="X90" s="53">
        <f t="shared" si="42"/>
        <v>0</v>
      </c>
      <c r="Y90" s="239" t="s">
        <v>337</v>
      </c>
    </row>
    <row r="91" spans="1:25" ht="28.5">
      <c r="A91" s="193">
        <f t="shared" si="36"/>
        <v>138</v>
      </c>
      <c r="B91" s="317" t="s">
        <v>338</v>
      </c>
      <c r="C91" s="195"/>
      <c r="D91" s="274">
        <v>30000</v>
      </c>
      <c r="E91" s="274"/>
      <c r="F91" s="274">
        <v>3000</v>
      </c>
      <c r="G91" s="274">
        <v>3000</v>
      </c>
      <c r="H91" s="274"/>
      <c r="I91" s="274"/>
      <c r="J91" s="274">
        <v>6000</v>
      </c>
      <c r="K91" s="274">
        <f t="shared" si="43"/>
        <v>6000</v>
      </c>
      <c r="L91" s="274">
        <f t="shared" si="39"/>
        <v>9000</v>
      </c>
      <c r="M91" s="277"/>
      <c r="N91" s="278">
        <v>20000</v>
      </c>
      <c r="O91" s="278">
        <v>19000</v>
      </c>
      <c r="P91" s="278">
        <f t="shared" si="40"/>
        <v>39000</v>
      </c>
      <c r="Q91" s="308" t="s">
        <v>339</v>
      </c>
      <c r="R91" s="278">
        <f t="shared" si="35"/>
        <v>39000</v>
      </c>
      <c r="S91" s="277"/>
      <c r="T91" s="238">
        <v>22000</v>
      </c>
      <c r="U91" s="238">
        <v>20000</v>
      </c>
      <c r="V91" s="238">
        <v>22000</v>
      </c>
      <c r="W91" s="53">
        <f t="shared" si="41"/>
        <v>42000</v>
      </c>
      <c r="X91" s="53">
        <f t="shared" si="42"/>
        <v>64000</v>
      </c>
      <c r="Y91" s="239" t="s">
        <v>339</v>
      </c>
    </row>
    <row r="92" spans="1:25" ht="27">
      <c r="A92" s="193">
        <f t="shared" si="36"/>
        <v>139</v>
      </c>
      <c r="B92" s="318" t="s">
        <v>340</v>
      </c>
      <c r="C92" s="195"/>
      <c r="D92" s="274">
        <v>20000</v>
      </c>
      <c r="E92" s="274"/>
      <c r="F92" s="274"/>
      <c r="G92" s="274"/>
      <c r="H92" s="274"/>
      <c r="I92" s="274">
        <v>20000</v>
      </c>
      <c r="J92" s="274"/>
      <c r="K92" s="274">
        <f t="shared" si="43"/>
        <v>0</v>
      </c>
      <c r="L92" s="274">
        <f t="shared" si="39"/>
        <v>0</v>
      </c>
      <c r="M92" s="277"/>
      <c r="N92" s="278"/>
      <c r="O92" s="278"/>
      <c r="P92" s="278">
        <f t="shared" si="40"/>
        <v>0</v>
      </c>
      <c r="Q92" s="308" t="s">
        <v>337</v>
      </c>
      <c r="R92" s="278">
        <f t="shared" si="35"/>
        <v>0</v>
      </c>
      <c r="S92" s="277"/>
      <c r="T92" s="238"/>
      <c r="U92" s="238"/>
      <c r="V92" s="238"/>
      <c r="W92" s="53">
        <f t="shared" si="41"/>
        <v>0</v>
      </c>
      <c r="X92" s="53">
        <f t="shared" si="42"/>
        <v>0</v>
      </c>
      <c r="Y92" s="239" t="s">
        <v>337</v>
      </c>
    </row>
    <row r="93" spans="1:25">
      <c r="A93" s="193">
        <f t="shared" si="36"/>
        <v>140</v>
      </c>
      <c r="B93" s="318" t="s">
        <v>341</v>
      </c>
      <c r="C93" s="195"/>
      <c r="D93" s="274">
        <v>40000</v>
      </c>
      <c r="E93" s="274"/>
      <c r="F93" s="274">
        <v>37500</v>
      </c>
      <c r="G93" s="274">
        <v>13500</v>
      </c>
      <c r="H93" s="274" t="s">
        <v>342</v>
      </c>
      <c r="I93" s="274"/>
      <c r="J93" s="274"/>
      <c r="K93" s="274">
        <f t="shared" si="43"/>
        <v>0</v>
      </c>
      <c r="L93" s="274">
        <f t="shared" si="39"/>
        <v>13500</v>
      </c>
      <c r="M93" s="277"/>
      <c r="N93" s="278"/>
      <c r="O93" s="278">
        <v>65000</v>
      </c>
      <c r="P93" s="278">
        <f t="shared" si="40"/>
        <v>65000</v>
      </c>
      <c r="Q93" s="308" t="s">
        <v>341</v>
      </c>
      <c r="R93" s="278">
        <f t="shared" si="35"/>
        <v>65000</v>
      </c>
      <c r="S93" s="277"/>
      <c r="T93" s="238">
        <v>5000</v>
      </c>
      <c r="U93" s="238"/>
      <c r="V93" s="238">
        <v>70000</v>
      </c>
      <c r="W93" s="53">
        <f t="shared" si="41"/>
        <v>70000</v>
      </c>
      <c r="X93" s="53">
        <f t="shared" si="42"/>
        <v>75000</v>
      </c>
      <c r="Y93" s="239" t="s">
        <v>341</v>
      </c>
    </row>
    <row r="94" spans="1:25">
      <c r="A94" s="193">
        <f t="shared" si="36"/>
        <v>141</v>
      </c>
      <c r="B94" s="319" t="s">
        <v>343</v>
      </c>
      <c r="C94" s="195"/>
      <c r="D94" s="274">
        <v>60000</v>
      </c>
      <c r="E94" s="274"/>
      <c r="F94" s="274">
        <v>20000</v>
      </c>
      <c r="G94" s="274">
        <v>8000</v>
      </c>
      <c r="H94" s="274" t="s">
        <v>344</v>
      </c>
      <c r="I94" s="274"/>
      <c r="J94" s="274">
        <v>20000</v>
      </c>
      <c r="K94" s="274">
        <f t="shared" si="43"/>
        <v>20000</v>
      </c>
      <c r="L94" s="274">
        <f t="shared" si="39"/>
        <v>28000</v>
      </c>
      <c r="M94" s="277"/>
      <c r="N94" s="278"/>
      <c r="O94" s="278"/>
      <c r="P94" s="278">
        <f t="shared" si="40"/>
        <v>0</v>
      </c>
      <c r="Q94" s="308" t="s">
        <v>337</v>
      </c>
      <c r="R94" s="278">
        <f t="shared" si="35"/>
        <v>0</v>
      </c>
      <c r="S94" s="277"/>
      <c r="T94" s="238"/>
      <c r="U94" s="238"/>
      <c r="V94" s="238"/>
      <c r="W94" s="53">
        <f t="shared" si="41"/>
        <v>0</v>
      </c>
      <c r="X94" s="53">
        <f t="shared" si="42"/>
        <v>0</v>
      </c>
      <c r="Y94" s="239" t="s">
        <v>337</v>
      </c>
    </row>
    <row r="95" spans="1:25">
      <c r="A95" s="193">
        <f t="shared" si="36"/>
        <v>142</v>
      </c>
      <c r="B95" s="318" t="s">
        <v>153</v>
      </c>
      <c r="C95" s="195"/>
      <c r="D95" s="274"/>
      <c r="E95" s="274"/>
      <c r="F95" s="274"/>
      <c r="G95" s="274"/>
      <c r="H95" s="274"/>
      <c r="I95" s="274"/>
      <c r="J95" s="274"/>
      <c r="K95" s="274">
        <f t="shared" si="43"/>
        <v>0</v>
      </c>
      <c r="L95" s="274">
        <f t="shared" si="39"/>
        <v>0</v>
      </c>
      <c r="M95" s="277"/>
      <c r="N95" s="278"/>
      <c r="O95" s="278"/>
      <c r="P95" s="278">
        <f t="shared" si="40"/>
        <v>0</v>
      </c>
      <c r="Q95" s="308"/>
      <c r="R95" s="278">
        <f t="shared" si="35"/>
        <v>0</v>
      </c>
      <c r="S95" s="277"/>
      <c r="T95" s="238"/>
      <c r="U95" s="238"/>
      <c r="V95" s="238"/>
      <c r="W95" s="53">
        <f t="shared" si="41"/>
        <v>0</v>
      </c>
      <c r="X95" s="53">
        <f t="shared" si="42"/>
        <v>0</v>
      </c>
      <c r="Y95" s="239"/>
    </row>
    <row r="96" spans="1:25">
      <c r="A96" s="193">
        <f t="shared" si="36"/>
        <v>143</v>
      </c>
      <c r="B96" s="320" t="s">
        <v>345</v>
      </c>
      <c r="C96" s="195"/>
      <c r="D96" s="274">
        <v>140000</v>
      </c>
      <c r="E96" s="274"/>
      <c r="F96" s="274">
        <v>46667</v>
      </c>
      <c r="G96" s="274">
        <v>20000</v>
      </c>
      <c r="H96" s="274" t="s">
        <v>346</v>
      </c>
      <c r="I96" s="274">
        <v>10000</v>
      </c>
      <c r="J96" s="274">
        <v>32666</v>
      </c>
      <c r="K96" s="274">
        <f t="shared" si="43"/>
        <v>32666</v>
      </c>
      <c r="L96" s="274"/>
      <c r="M96" s="277"/>
      <c r="N96" s="278">
        <v>10000</v>
      </c>
      <c r="O96" s="278">
        <v>35000</v>
      </c>
      <c r="P96" s="278">
        <f t="shared" si="40"/>
        <v>45000</v>
      </c>
      <c r="Q96" s="308" t="s">
        <v>347</v>
      </c>
      <c r="R96" s="278">
        <f t="shared" si="35"/>
        <v>45000</v>
      </c>
      <c r="S96" s="277"/>
      <c r="T96" s="238">
        <v>35000</v>
      </c>
      <c r="U96" s="238">
        <v>12000</v>
      </c>
      <c r="V96" s="238">
        <v>35000</v>
      </c>
      <c r="W96" s="53">
        <f t="shared" si="41"/>
        <v>47000</v>
      </c>
      <c r="X96" s="53">
        <f t="shared" si="42"/>
        <v>82000</v>
      </c>
      <c r="Y96" s="239" t="s">
        <v>347</v>
      </c>
    </row>
    <row r="97" spans="1:25">
      <c r="A97" s="193">
        <f t="shared" si="36"/>
        <v>144</v>
      </c>
      <c r="B97" s="194" t="s">
        <v>281</v>
      </c>
      <c r="C97" s="195"/>
      <c r="D97" s="274">
        <v>98750</v>
      </c>
      <c r="E97" s="274"/>
      <c r="F97" s="274">
        <v>32917</v>
      </c>
      <c r="G97" s="274">
        <v>15000</v>
      </c>
      <c r="H97" s="274" t="s">
        <v>285</v>
      </c>
      <c r="I97" s="274">
        <v>20288</v>
      </c>
      <c r="J97" s="274">
        <v>12629</v>
      </c>
      <c r="K97" s="274">
        <f t="shared" si="43"/>
        <v>12629</v>
      </c>
      <c r="L97" s="274"/>
      <c r="M97" s="277"/>
      <c r="N97" s="278">
        <v>20288</v>
      </c>
      <c r="O97" s="278">
        <v>17628</v>
      </c>
      <c r="P97" s="278">
        <f t="shared" si="40"/>
        <v>37916</v>
      </c>
      <c r="Q97" s="308" t="s">
        <v>262</v>
      </c>
      <c r="R97" s="278">
        <f t="shared" si="35"/>
        <v>37916</v>
      </c>
      <c r="S97" s="277"/>
      <c r="T97" s="238">
        <v>17000</v>
      </c>
      <c r="U97" s="238">
        <v>20000</v>
      </c>
      <c r="V97" s="238">
        <v>17000</v>
      </c>
      <c r="W97" s="53">
        <f t="shared" si="41"/>
        <v>37000</v>
      </c>
      <c r="X97" s="53">
        <f t="shared" si="42"/>
        <v>54000</v>
      </c>
      <c r="Y97" s="239" t="s">
        <v>262</v>
      </c>
    </row>
    <row r="98" spans="1:25">
      <c r="A98" s="193">
        <f t="shared" si="36"/>
        <v>145</v>
      </c>
      <c r="B98" s="194" t="s">
        <v>267</v>
      </c>
      <c r="C98" s="195"/>
      <c r="D98" s="274">
        <v>30000</v>
      </c>
      <c r="E98" s="274"/>
      <c r="F98" s="274">
        <v>40000</v>
      </c>
      <c r="G98" s="274">
        <v>30000</v>
      </c>
      <c r="H98" s="274" t="s">
        <v>348</v>
      </c>
      <c r="I98" s="274"/>
      <c r="J98" s="274">
        <v>26000</v>
      </c>
      <c r="K98" s="274">
        <f t="shared" si="43"/>
        <v>26000</v>
      </c>
      <c r="L98" s="274"/>
      <c r="M98" s="277"/>
      <c r="N98" s="278"/>
      <c r="O98" s="278">
        <v>15000</v>
      </c>
      <c r="P98" s="278">
        <f t="shared" si="40"/>
        <v>15000</v>
      </c>
      <c r="Q98" s="308"/>
      <c r="R98" s="278">
        <f t="shared" si="35"/>
        <v>15000</v>
      </c>
      <c r="S98" s="277"/>
      <c r="T98" s="238">
        <v>15000</v>
      </c>
      <c r="U98" s="238"/>
      <c r="V98" s="238">
        <v>15000</v>
      </c>
      <c r="W98" s="53">
        <f t="shared" si="41"/>
        <v>15000</v>
      </c>
      <c r="X98" s="53">
        <f t="shared" si="42"/>
        <v>30000</v>
      </c>
      <c r="Y98" s="239"/>
    </row>
    <row r="99" spans="1:25">
      <c r="A99" s="193" t="s">
        <v>349</v>
      </c>
      <c r="B99" s="194" t="s">
        <v>350</v>
      </c>
      <c r="C99" s="195"/>
      <c r="D99" s="274">
        <v>18000</v>
      </c>
      <c r="E99" s="274"/>
      <c r="F99" s="274">
        <v>0</v>
      </c>
      <c r="G99" s="274">
        <v>10083</v>
      </c>
      <c r="H99" s="274"/>
      <c r="I99" s="274"/>
      <c r="J99" s="274"/>
      <c r="K99" s="274">
        <f t="shared" si="43"/>
        <v>0</v>
      </c>
      <c r="L99" s="274"/>
      <c r="M99" s="277"/>
      <c r="N99" s="278"/>
      <c r="O99" s="278">
        <v>15000</v>
      </c>
      <c r="P99" s="278">
        <f t="shared" si="40"/>
        <v>15000</v>
      </c>
      <c r="Q99" s="308"/>
      <c r="R99" s="278">
        <f t="shared" si="35"/>
        <v>15000</v>
      </c>
      <c r="S99" s="277"/>
      <c r="T99" s="238">
        <v>15000</v>
      </c>
      <c r="U99" s="238"/>
      <c r="V99" s="238">
        <v>15000</v>
      </c>
      <c r="W99" s="53">
        <f t="shared" si="41"/>
        <v>15000</v>
      </c>
      <c r="X99" s="53">
        <f t="shared" si="42"/>
        <v>30000</v>
      </c>
      <c r="Y99" s="239"/>
    </row>
    <row r="100" spans="1:25">
      <c r="A100" s="193" t="s">
        <v>351</v>
      </c>
      <c r="B100" s="194" t="s">
        <v>179</v>
      </c>
      <c r="C100" s="195"/>
      <c r="D100" s="274"/>
      <c r="E100" s="274"/>
      <c r="F100" s="274"/>
      <c r="G100" s="274"/>
      <c r="H100" s="274"/>
      <c r="I100" s="274"/>
      <c r="J100" s="274"/>
      <c r="K100" s="274">
        <f>I101</f>
        <v>50288</v>
      </c>
      <c r="L100" s="274"/>
      <c r="M100" s="277"/>
      <c r="N100" s="278"/>
      <c r="O100" s="278"/>
      <c r="P100" s="278">
        <f t="shared" si="40"/>
        <v>0</v>
      </c>
      <c r="Q100" s="308"/>
      <c r="R100" s="278">
        <f t="shared" si="35"/>
        <v>0</v>
      </c>
      <c r="S100" s="277"/>
      <c r="T100" s="238"/>
      <c r="U100" s="238"/>
      <c r="V100" s="238"/>
      <c r="W100" s="53">
        <f t="shared" si="41"/>
        <v>0</v>
      </c>
      <c r="X100" s="53">
        <f t="shared" si="42"/>
        <v>0</v>
      </c>
      <c r="Y100" s="239"/>
    </row>
    <row r="101" spans="1:25">
      <c r="A101" s="284">
        <v>147</v>
      </c>
      <c r="B101" s="245" t="s">
        <v>352</v>
      </c>
      <c r="C101" s="286">
        <f>430000+50000+40000</f>
        <v>520000</v>
      </c>
      <c r="D101" s="295">
        <v>556750</v>
      </c>
      <c r="E101" s="295">
        <v>261904</v>
      </c>
      <c r="F101" s="295">
        <f>SUM(F89:F99)</f>
        <v>210584</v>
      </c>
      <c r="G101" s="295">
        <f>SUM(G89:G99)</f>
        <v>126583</v>
      </c>
      <c r="H101" s="295" t="s">
        <v>249</v>
      </c>
      <c r="I101" s="295">
        <f t="shared" ref="I101:K101" si="44">SUM(I89:I100)</f>
        <v>50288</v>
      </c>
      <c r="J101" s="295">
        <f t="shared" si="44"/>
        <v>112295</v>
      </c>
      <c r="K101" s="295">
        <f t="shared" si="44"/>
        <v>162583</v>
      </c>
      <c r="L101" s="295">
        <f>E101+G101+K101</f>
        <v>551070</v>
      </c>
      <c r="M101" s="296"/>
      <c r="N101" s="297">
        <f>SUM(N89:N100)</f>
        <v>50288</v>
      </c>
      <c r="O101" s="297">
        <f t="shared" ref="O101:P101" si="45">SUM(O89:O100)</f>
        <v>207628</v>
      </c>
      <c r="P101" s="297">
        <f t="shared" si="45"/>
        <v>257916</v>
      </c>
      <c r="Q101" s="321"/>
      <c r="R101" s="297">
        <f t="shared" si="35"/>
        <v>257916</v>
      </c>
      <c r="S101" s="296"/>
      <c r="T101" s="299">
        <f t="shared" ref="T101:Y101" si="46">SUM(T89:T100)</f>
        <v>169000</v>
      </c>
      <c r="U101" s="299">
        <f t="shared" si="46"/>
        <v>52000</v>
      </c>
      <c r="V101" s="299">
        <f t="shared" si="46"/>
        <v>215000</v>
      </c>
      <c r="W101" s="299">
        <f t="shared" si="46"/>
        <v>267000</v>
      </c>
      <c r="X101" s="299">
        <f t="shared" si="46"/>
        <v>436000</v>
      </c>
      <c r="Y101" s="322">
        <f t="shared" si="46"/>
        <v>0</v>
      </c>
    </row>
    <row r="102" spans="1:25">
      <c r="A102" s="193">
        <f t="shared" si="36"/>
        <v>148</v>
      </c>
      <c r="B102" s="194"/>
      <c r="C102" s="195"/>
      <c r="D102" s="274"/>
      <c r="E102" s="274"/>
      <c r="F102" s="274"/>
      <c r="G102" s="274"/>
      <c r="H102" s="274"/>
      <c r="I102" s="274"/>
      <c r="J102" s="274"/>
      <c r="K102" s="274"/>
      <c r="L102" s="56">
        <f>E102+G102+K102</f>
        <v>0</v>
      </c>
      <c r="M102" s="277"/>
      <c r="N102" s="278"/>
      <c r="O102" s="278"/>
      <c r="P102" s="278">
        <f t="shared" si="40"/>
        <v>0</v>
      </c>
      <c r="Q102" s="308"/>
      <c r="R102" s="278">
        <f t="shared" si="35"/>
        <v>0</v>
      </c>
      <c r="S102" s="277"/>
      <c r="T102" s="238"/>
      <c r="U102" s="238"/>
      <c r="V102" s="238"/>
      <c r="W102" s="238"/>
      <c r="X102" s="238"/>
      <c r="Y102" s="239"/>
    </row>
    <row r="103" spans="1:25">
      <c r="A103" s="193">
        <f t="shared" si="36"/>
        <v>149</v>
      </c>
      <c r="B103" s="194" t="s">
        <v>353</v>
      </c>
      <c r="C103" s="195">
        <v>90000</v>
      </c>
      <c r="D103" s="274">
        <v>120000</v>
      </c>
      <c r="E103" s="274">
        <v>0</v>
      </c>
      <c r="F103" s="274">
        <v>40000</v>
      </c>
      <c r="G103" s="274">
        <v>20000</v>
      </c>
      <c r="H103" s="276"/>
      <c r="I103" s="274"/>
      <c r="J103" s="274"/>
      <c r="K103" s="274"/>
      <c r="L103" s="274"/>
      <c r="M103" s="277"/>
      <c r="N103" s="278"/>
      <c r="O103" s="278"/>
      <c r="P103" s="278">
        <f t="shared" si="40"/>
        <v>0</v>
      </c>
      <c r="Q103" s="308"/>
      <c r="R103" s="278">
        <f t="shared" si="35"/>
        <v>0</v>
      </c>
      <c r="S103" s="277"/>
      <c r="T103" s="238"/>
      <c r="U103" s="238"/>
      <c r="V103" s="238"/>
      <c r="W103" s="53">
        <f t="shared" ref="W103:X104" si="47">U103+V103</f>
        <v>0</v>
      </c>
      <c r="X103" s="53">
        <f t="shared" ref="X103" si="48">T103+W103</f>
        <v>0</v>
      </c>
      <c r="Y103" s="239"/>
    </row>
    <row r="104" spans="1:25" s="292" customFormat="1">
      <c r="A104" s="193">
        <f t="shared" si="36"/>
        <v>150</v>
      </c>
      <c r="B104" s="194" t="s">
        <v>181</v>
      </c>
      <c r="C104" s="323">
        <f>'[4]Salary Summary GC Adopted'!Y18</f>
        <v>2256727.1986439303</v>
      </c>
      <c r="D104" s="274">
        <v>2951844.3671114263</v>
      </c>
      <c r="E104" s="274">
        <v>919448</v>
      </c>
      <c r="F104" s="274">
        <f>'[3]Salary Summary 19 for 2019-2021'!L20</f>
        <v>1017684.3625295191</v>
      </c>
      <c r="G104" s="274">
        <f>F104</f>
        <v>1017684.3625295191</v>
      </c>
      <c r="H104" s="274"/>
      <c r="I104" s="274"/>
      <c r="J104" s="274">
        <f>'[3]Salary Summary 20 for 2019-2021'!P20</f>
        <v>1045016.161599328</v>
      </c>
      <c r="K104" s="274">
        <f>J104</f>
        <v>1045016.161599328</v>
      </c>
      <c r="L104" s="274">
        <f t="shared" ref="L104:L121" si="49">E104+G104+K104</f>
        <v>2982148.5241288468</v>
      </c>
      <c r="M104" s="277"/>
      <c r="N104" s="278"/>
      <c r="O104" s="278">
        <f>'Salary Summary 21 for 2022-2024'!M21</f>
        <v>1076159.0112307267</v>
      </c>
      <c r="P104" s="278">
        <f t="shared" si="40"/>
        <v>1076159.0112307267</v>
      </c>
      <c r="Q104" s="308"/>
      <c r="R104" s="278">
        <f t="shared" si="35"/>
        <v>1076159.0112307267</v>
      </c>
      <c r="S104" s="277"/>
      <c r="T104" s="324">
        <f>'Salary Summary 21 for 2022-2024'!Q21</f>
        <v>1112606.7286982294</v>
      </c>
      <c r="U104" s="324"/>
      <c r="V104" s="324">
        <f>'Salary Summary 21 for 2022-2024'!U21</f>
        <v>1148301.6819718804</v>
      </c>
      <c r="W104" s="324">
        <f t="shared" si="47"/>
        <v>1148301.6819718804</v>
      </c>
      <c r="X104" s="324">
        <f t="shared" si="47"/>
        <v>2296603.3639437607</v>
      </c>
      <c r="Y104" s="324"/>
    </row>
    <row r="105" spans="1:25">
      <c r="A105" s="252">
        <f t="shared" si="36"/>
        <v>151</v>
      </c>
      <c r="B105" s="325" t="s">
        <v>354</v>
      </c>
      <c r="C105" s="326">
        <f>SUM(C103:C104)+C101+C86+C67+C57</f>
        <v>4380727.1986439303</v>
      </c>
      <c r="D105" s="326">
        <f t="shared" ref="D105:G105" si="50">D104+D103+D101+D86+D67+D57+D102</f>
        <v>4939844.3671114258</v>
      </c>
      <c r="E105" s="326">
        <f t="shared" si="50"/>
        <v>1707947</v>
      </c>
      <c r="F105" s="326">
        <f t="shared" si="50"/>
        <v>1681769.362529519</v>
      </c>
      <c r="G105" s="326">
        <f t="shared" si="50"/>
        <v>1427769.362529519</v>
      </c>
      <c r="H105" s="326"/>
      <c r="I105" s="326">
        <f t="shared" ref="I105:K105" si="51">I104+I103+I101+I86+I67+I57</f>
        <v>131152</v>
      </c>
      <c r="J105" s="326">
        <f t="shared" si="51"/>
        <v>1538195.161599328</v>
      </c>
      <c r="K105" s="326">
        <f t="shared" si="51"/>
        <v>1669347.161599328</v>
      </c>
      <c r="L105" s="326">
        <f t="shared" si="49"/>
        <v>4805063.5241288468</v>
      </c>
      <c r="M105" s="327"/>
      <c r="N105" s="328">
        <f t="shared" ref="N105:O105" si="52">N104+N103+N101+N86+N67+N57</f>
        <v>131152</v>
      </c>
      <c r="O105" s="328">
        <f t="shared" si="52"/>
        <v>1779170.0112307267</v>
      </c>
      <c r="P105" s="328">
        <f t="shared" si="40"/>
        <v>1910322.0112307267</v>
      </c>
      <c r="Q105" s="329"/>
      <c r="R105" s="328">
        <f t="shared" si="35"/>
        <v>1910322.0112307267</v>
      </c>
      <c r="S105" s="327"/>
      <c r="T105" s="330">
        <f>T104+T103+T101+T86+T67+T57</f>
        <v>1834606.7286982294</v>
      </c>
      <c r="U105" s="330">
        <f t="shared" ref="U105:X105" si="53">U104+U103+U101+U86+U67+U57</f>
        <v>132000</v>
      </c>
      <c r="V105" s="330">
        <f t="shared" si="53"/>
        <v>1886301.6819718804</v>
      </c>
      <c r="W105" s="330">
        <f t="shared" si="53"/>
        <v>2018301.6819718804</v>
      </c>
      <c r="X105" s="330">
        <f t="shared" si="53"/>
        <v>3808603.3639437607</v>
      </c>
      <c r="Y105" s="330"/>
    </row>
    <row r="106" spans="1:25">
      <c r="A106" s="193">
        <f t="shared" si="36"/>
        <v>152</v>
      </c>
      <c r="C106" s="50"/>
      <c r="D106" s="50"/>
      <c r="E106" s="50"/>
      <c r="F106" s="50"/>
      <c r="G106" s="50"/>
      <c r="H106" s="50" t="s">
        <v>355</v>
      </c>
      <c r="I106" s="50"/>
      <c r="J106" s="50"/>
      <c r="K106" s="50"/>
      <c r="L106" s="56">
        <f t="shared" si="49"/>
        <v>0</v>
      </c>
      <c r="M106" s="237"/>
      <c r="N106" s="59"/>
      <c r="O106" s="59"/>
      <c r="P106" s="59">
        <f t="shared" si="40"/>
        <v>0</v>
      </c>
      <c r="Q106" s="59"/>
      <c r="R106" s="59">
        <f t="shared" si="35"/>
        <v>0</v>
      </c>
      <c r="S106" s="237"/>
      <c r="T106" s="238"/>
      <c r="U106" s="238"/>
      <c r="V106" s="238"/>
      <c r="W106" s="238"/>
      <c r="X106" s="238"/>
      <c r="Y106" s="238"/>
    </row>
    <row r="107" spans="1:25">
      <c r="C107" s="50"/>
      <c r="D107" s="50"/>
      <c r="E107" s="50"/>
      <c r="F107" s="50"/>
      <c r="G107" s="50"/>
      <c r="H107" s="50"/>
      <c r="I107" s="50"/>
      <c r="J107" s="50"/>
      <c r="K107" s="50"/>
      <c r="L107" s="56">
        <f t="shared" si="49"/>
        <v>0</v>
      </c>
      <c r="M107" s="237"/>
      <c r="N107" s="59"/>
      <c r="O107" s="59"/>
      <c r="P107" s="59">
        <f t="shared" si="40"/>
        <v>0</v>
      </c>
      <c r="Q107" s="59"/>
      <c r="R107" s="59">
        <f t="shared" si="35"/>
        <v>0</v>
      </c>
      <c r="S107" s="237"/>
      <c r="T107" s="238"/>
      <c r="U107" s="238"/>
      <c r="V107" s="238"/>
      <c r="W107" s="238"/>
      <c r="X107" s="238"/>
      <c r="Y107" s="238"/>
    </row>
    <row r="108" spans="1:25">
      <c r="A108" s="193">
        <f>A106+1</f>
        <v>153</v>
      </c>
      <c r="B108" s="240" t="s">
        <v>356</v>
      </c>
      <c r="C108" s="195">
        <v>1645000</v>
      </c>
      <c r="D108" s="49">
        <v>1645000</v>
      </c>
      <c r="E108" s="55">
        <v>1096667</v>
      </c>
      <c r="F108" s="55" t="e">
        <f>#REF!/2</f>
        <v>#REF!</v>
      </c>
      <c r="G108" s="55">
        <v>274167</v>
      </c>
      <c r="H108" s="57"/>
      <c r="I108" s="57"/>
      <c r="J108" s="57">
        <v>274166.66666666669</v>
      </c>
      <c r="K108" s="55">
        <f>J108</f>
        <v>274166.66666666669</v>
      </c>
      <c r="L108" s="55">
        <f t="shared" si="49"/>
        <v>1645000.6666666667</v>
      </c>
      <c r="M108" s="331"/>
      <c r="N108" s="332"/>
      <c r="O108" s="333"/>
      <c r="P108" s="333">
        <f t="shared" si="40"/>
        <v>0</v>
      </c>
      <c r="Q108" s="334"/>
      <c r="R108" s="338">
        <f t="shared" si="35"/>
        <v>0</v>
      </c>
      <c r="S108" s="331"/>
      <c r="T108" s="238"/>
      <c r="U108" s="238"/>
      <c r="V108" s="238"/>
      <c r="W108" s="53"/>
      <c r="X108" s="53"/>
      <c r="Y108" s="239"/>
    </row>
    <row r="109" spans="1:25" ht="28.5">
      <c r="A109" s="734" t="s">
        <v>357</v>
      </c>
      <c r="B109" s="735" t="s">
        <v>358</v>
      </c>
      <c r="C109" s="336"/>
      <c r="D109" s="335"/>
      <c r="E109" s="333"/>
      <c r="F109" s="333"/>
      <c r="G109" s="333"/>
      <c r="H109" s="337"/>
      <c r="I109" s="337"/>
      <c r="J109" s="337"/>
      <c r="K109" s="333"/>
      <c r="L109" s="333"/>
      <c r="M109" s="333"/>
      <c r="N109" s="337"/>
      <c r="O109" s="333">
        <v>274166.5</v>
      </c>
      <c r="P109" s="333">
        <f t="shared" si="40"/>
        <v>274166.5</v>
      </c>
      <c r="Q109" s="334" t="s">
        <v>359</v>
      </c>
      <c r="R109" s="338">
        <f t="shared" si="35"/>
        <v>274166.5</v>
      </c>
      <c r="S109" s="331"/>
      <c r="T109" s="344">
        <v>274166.5</v>
      </c>
      <c r="U109" s="238"/>
      <c r="V109" s="344">
        <v>274167</v>
      </c>
      <c r="W109" s="53">
        <f t="shared" ref="W109:W113" si="54">U109+V109</f>
        <v>274167</v>
      </c>
      <c r="X109" s="53">
        <f t="shared" ref="X109:X113" si="55">T109+W109</f>
        <v>548333.5</v>
      </c>
      <c r="Y109" s="268" t="s">
        <v>359</v>
      </c>
    </row>
    <row r="110" spans="1:25" ht="42.75">
      <c r="A110" s="734" t="s">
        <v>360</v>
      </c>
      <c r="B110" s="735" t="s">
        <v>361</v>
      </c>
      <c r="C110" s="336"/>
      <c r="D110" s="335"/>
      <c r="E110" s="333"/>
      <c r="F110" s="333"/>
      <c r="G110" s="333"/>
      <c r="H110" s="337"/>
      <c r="I110" s="337"/>
      <c r="J110" s="337"/>
      <c r="K110" s="333"/>
      <c r="L110" s="333"/>
      <c r="M110" s="333"/>
      <c r="N110" s="337"/>
      <c r="O110" s="333">
        <f>O109</f>
        <v>274166.5</v>
      </c>
      <c r="P110" s="333">
        <f t="shared" si="40"/>
        <v>274166.5</v>
      </c>
      <c r="Q110" s="334" t="s">
        <v>362</v>
      </c>
      <c r="R110" s="338">
        <f t="shared" si="35"/>
        <v>274166.5</v>
      </c>
      <c r="S110" s="331"/>
      <c r="T110" s="344">
        <f>T109</f>
        <v>274166.5</v>
      </c>
      <c r="U110" s="238"/>
      <c r="V110" s="344">
        <f>V109</f>
        <v>274167</v>
      </c>
      <c r="W110" s="53">
        <f t="shared" si="54"/>
        <v>274167</v>
      </c>
      <c r="X110" s="53">
        <f t="shared" si="55"/>
        <v>548333.5</v>
      </c>
      <c r="Y110" s="268" t="s">
        <v>362</v>
      </c>
    </row>
    <row r="111" spans="1:25" s="236" customFormat="1" ht="42.75">
      <c r="A111" s="734">
        <f>A108+1</f>
        <v>154</v>
      </c>
      <c r="B111" s="735" t="s">
        <v>363</v>
      </c>
      <c r="C111" s="336">
        <v>400000</v>
      </c>
      <c r="D111" s="335">
        <v>400000</v>
      </c>
      <c r="E111" s="333">
        <v>307159</v>
      </c>
      <c r="F111" s="333">
        <v>50000</v>
      </c>
      <c r="G111" s="333">
        <v>50000</v>
      </c>
      <c r="H111" s="337"/>
      <c r="I111" s="337"/>
      <c r="J111" s="333">
        <f>50000-7159</f>
        <v>42841</v>
      </c>
      <c r="K111" s="333">
        <f>J111</f>
        <v>42841</v>
      </c>
      <c r="L111" s="333">
        <f t="shared" si="49"/>
        <v>400000</v>
      </c>
      <c r="M111" s="333"/>
      <c r="N111" s="337"/>
      <c r="O111" s="333"/>
      <c r="P111" s="333">
        <f t="shared" si="40"/>
        <v>0</v>
      </c>
      <c r="Q111" s="334" t="s">
        <v>364</v>
      </c>
      <c r="R111" s="338">
        <f t="shared" si="35"/>
        <v>0</v>
      </c>
      <c r="S111" s="331"/>
      <c r="T111" s="344"/>
      <c r="U111" s="248"/>
      <c r="V111" s="344"/>
      <c r="W111" s="53">
        <f t="shared" si="54"/>
        <v>0</v>
      </c>
      <c r="X111" s="53">
        <f t="shared" si="55"/>
        <v>0</v>
      </c>
      <c r="Y111" s="268" t="s">
        <v>364</v>
      </c>
    </row>
    <row r="112" spans="1:25" s="236" customFormat="1" ht="28.5">
      <c r="A112" s="734" t="s">
        <v>365</v>
      </c>
      <c r="B112" s="735" t="s">
        <v>366</v>
      </c>
      <c r="C112" s="336"/>
      <c r="D112" s="335"/>
      <c r="E112" s="333"/>
      <c r="F112" s="333"/>
      <c r="G112" s="333"/>
      <c r="H112" s="337"/>
      <c r="I112" s="337"/>
      <c r="J112" s="333"/>
      <c r="K112" s="333"/>
      <c r="L112" s="333"/>
      <c r="M112" s="333"/>
      <c r="N112" s="337"/>
      <c r="O112" s="333">
        <v>66666.570000000007</v>
      </c>
      <c r="P112" s="333">
        <f t="shared" si="40"/>
        <v>66666.570000000007</v>
      </c>
      <c r="Q112" s="334" t="s">
        <v>359</v>
      </c>
      <c r="R112" s="338">
        <f t="shared" si="35"/>
        <v>66666.570000000007</v>
      </c>
      <c r="S112" s="331"/>
      <c r="T112" s="344">
        <v>66666.570000000007</v>
      </c>
      <c r="U112" s="248"/>
      <c r="V112" s="344">
        <v>66667</v>
      </c>
      <c r="W112" s="53">
        <f t="shared" si="54"/>
        <v>66667</v>
      </c>
      <c r="X112" s="53">
        <f t="shared" si="55"/>
        <v>133333.57</v>
      </c>
      <c r="Y112" s="268" t="s">
        <v>359</v>
      </c>
    </row>
    <row r="113" spans="1:25" s="236" customFormat="1" ht="42.75">
      <c r="A113" s="734" t="s">
        <v>367</v>
      </c>
      <c r="B113" s="735" t="s">
        <v>368</v>
      </c>
      <c r="C113" s="336"/>
      <c r="D113" s="335"/>
      <c r="E113" s="333"/>
      <c r="F113" s="333"/>
      <c r="G113" s="333"/>
      <c r="H113" s="337"/>
      <c r="I113" s="337"/>
      <c r="J113" s="333"/>
      <c r="K113" s="333"/>
      <c r="L113" s="333"/>
      <c r="M113" s="333"/>
      <c r="N113" s="337"/>
      <c r="O113" s="333">
        <f>O112</f>
        <v>66666.570000000007</v>
      </c>
      <c r="P113" s="333">
        <f t="shared" si="40"/>
        <v>66666.570000000007</v>
      </c>
      <c r="Q113" s="334" t="s">
        <v>362</v>
      </c>
      <c r="R113" s="338">
        <f t="shared" si="35"/>
        <v>66666.570000000007</v>
      </c>
      <c r="S113" s="331"/>
      <c r="T113" s="344">
        <f>T112</f>
        <v>66666.570000000007</v>
      </c>
      <c r="U113" s="248"/>
      <c r="V113" s="344">
        <f>V112</f>
        <v>66667</v>
      </c>
      <c r="W113" s="53">
        <f t="shared" si="54"/>
        <v>66667</v>
      </c>
      <c r="X113" s="53">
        <f t="shared" si="55"/>
        <v>133333.57</v>
      </c>
      <c r="Y113" s="268" t="s">
        <v>362</v>
      </c>
    </row>
    <row r="114" spans="1:25">
      <c r="A114" s="734">
        <f>A111+1</f>
        <v>155</v>
      </c>
      <c r="B114" s="735" t="s">
        <v>369</v>
      </c>
      <c r="C114" s="50"/>
      <c r="D114" s="50"/>
      <c r="E114" s="50"/>
      <c r="F114" s="50"/>
      <c r="G114" s="56"/>
      <c r="H114" s="50"/>
      <c r="I114" s="50"/>
      <c r="J114" s="50"/>
      <c r="K114" s="50"/>
      <c r="L114" s="55">
        <f t="shared" si="49"/>
        <v>0</v>
      </c>
      <c r="M114" s="331"/>
      <c r="N114" s="59"/>
      <c r="O114" s="338"/>
      <c r="P114" s="338">
        <f t="shared" si="40"/>
        <v>0</v>
      </c>
      <c r="Q114" s="260"/>
      <c r="R114" s="338">
        <f t="shared" si="35"/>
        <v>0</v>
      </c>
      <c r="S114" s="331"/>
      <c r="T114" s="238"/>
      <c r="U114" s="238"/>
      <c r="V114" s="238"/>
      <c r="W114" s="238"/>
      <c r="X114" s="238"/>
      <c r="Y114" s="238"/>
    </row>
    <row r="115" spans="1:25">
      <c r="A115" s="235">
        <v>156</v>
      </c>
      <c r="B115" s="236" t="s">
        <v>370</v>
      </c>
      <c r="C115" s="339"/>
      <c r="D115" s="339"/>
      <c r="E115" s="339"/>
      <c r="F115" s="339"/>
      <c r="G115" s="340"/>
      <c r="H115" s="339"/>
      <c r="I115" s="339"/>
      <c r="J115" s="339"/>
      <c r="K115" s="339"/>
      <c r="L115" s="55">
        <f t="shared" si="49"/>
        <v>0</v>
      </c>
      <c r="M115" s="331"/>
      <c r="N115" s="341"/>
      <c r="O115" s="338"/>
      <c r="P115" s="338">
        <f t="shared" si="40"/>
        <v>0</v>
      </c>
      <c r="Q115" s="260"/>
      <c r="R115" s="338">
        <f t="shared" si="35"/>
        <v>0</v>
      </c>
      <c r="S115" s="331"/>
      <c r="T115" s="238"/>
      <c r="U115" s="238"/>
      <c r="V115" s="238"/>
      <c r="W115" s="238"/>
      <c r="X115" s="238"/>
      <c r="Y115" s="238"/>
    </row>
    <row r="116" spans="1:25" ht="28.5">
      <c r="A116" s="193">
        <f t="shared" si="36"/>
        <v>157</v>
      </c>
      <c r="B116" s="240" t="s">
        <v>371</v>
      </c>
      <c r="C116" s="195">
        <f>218160+232000+30000</f>
        <v>480160</v>
      </c>
      <c r="D116" s="195">
        <v>482000</v>
      </c>
      <c r="E116" s="342">
        <v>56501</v>
      </c>
      <c r="F116" s="195">
        <v>148000</v>
      </c>
      <c r="G116" s="342">
        <v>148000</v>
      </c>
      <c r="H116" s="195" t="s">
        <v>372</v>
      </c>
      <c r="I116" s="195">
        <v>30000</v>
      </c>
      <c r="J116" s="195">
        <f>152000+20000</f>
        <v>172000</v>
      </c>
      <c r="K116" s="195">
        <f>J116</f>
        <v>172000</v>
      </c>
      <c r="L116" s="55">
        <f t="shared" si="49"/>
        <v>376501</v>
      </c>
      <c r="M116" s="331"/>
      <c r="N116" s="196">
        <v>30000</v>
      </c>
      <c r="O116" s="338">
        <v>139987</v>
      </c>
      <c r="P116" s="338">
        <f t="shared" si="40"/>
        <v>169987</v>
      </c>
      <c r="Q116" s="260" t="s">
        <v>373</v>
      </c>
      <c r="R116" s="338">
        <f t="shared" si="35"/>
        <v>169987</v>
      </c>
      <c r="S116" s="331"/>
      <c r="T116" s="238">
        <v>170000</v>
      </c>
      <c r="U116" s="238"/>
      <c r="V116" s="238">
        <v>170000</v>
      </c>
      <c r="W116" s="53">
        <f t="shared" ref="W116:W119" si="56">U116+V116</f>
        <v>170000</v>
      </c>
      <c r="X116" s="53">
        <f t="shared" ref="X116:X119" si="57">T116+W116</f>
        <v>340000</v>
      </c>
      <c r="Y116" s="238"/>
    </row>
    <row r="117" spans="1:25">
      <c r="A117" s="193" t="s">
        <v>374</v>
      </c>
      <c r="B117" s="240" t="s">
        <v>179</v>
      </c>
      <c r="C117" s="195"/>
      <c r="D117" s="195"/>
      <c r="E117" s="342"/>
      <c r="F117" s="195"/>
      <c r="G117" s="342"/>
      <c r="H117" s="195"/>
      <c r="I117" s="195"/>
      <c r="J117" s="195"/>
      <c r="K117" s="195">
        <f>I120</f>
        <v>30000</v>
      </c>
      <c r="L117" s="55">
        <f t="shared" si="49"/>
        <v>30000</v>
      </c>
      <c r="M117" s="331"/>
      <c r="N117" s="196"/>
      <c r="O117" s="338"/>
      <c r="P117" s="338">
        <f t="shared" si="40"/>
        <v>0</v>
      </c>
      <c r="Q117" s="260" t="s">
        <v>375</v>
      </c>
      <c r="R117" s="338">
        <f t="shared" si="35"/>
        <v>0</v>
      </c>
      <c r="S117" s="331"/>
      <c r="T117" s="238"/>
      <c r="U117" s="238"/>
      <c r="V117" s="238"/>
      <c r="W117" s="53">
        <f t="shared" si="56"/>
        <v>0</v>
      </c>
      <c r="X117" s="53">
        <f t="shared" si="57"/>
        <v>0</v>
      </c>
      <c r="Y117" s="238"/>
    </row>
    <row r="118" spans="1:25">
      <c r="A118" s="193">
        <f>A116+1</f>
        <v>158</v>
      </c>
      <c r="B118" s="240" t="s">
        <v>181</v>
      </c>
      <c r="C118" s="195">
        <f>'[4]Salary Summary GC Adopted'!Y34</f>
        <v>693189.62135474221</v>
      </c>
      <c r="D118" s="195">
        <v>651175.09668068355</v>
      </c>
      <c r="E118" s="274">
        <v>242969</v>
      </c>
      <c r="F118" s="274">
        <f>'[3]Salary Summary 19 for 2019-2021'!L40</f>
        <v>253840.41099001199</v>
      </c>
      <c r="G118" s="343">
        <v>253840</v>
      </c>
      <c r="H118" s="274" t="s">
        <v>376</v>
      </c>
      <c r="I118" s="274"/>
      <c r="J118" s="274">
        <f>'[3]Salary Summary 20 for 2019-2021'!P40-96000</f>
        <v>163232.15997409716</v>
      </c>
      <c r="K118" s="274">
        <f>J118</f>
        <v>163232.15997409716</v>
      </c>
      <c r="L118" s="55">
        <f t="shared" si="49"/>
        <v>660041.15997409716</v>
      </c>
      <c r="M118" s="331"/>
      <c r="N118" s="278"/>
      <c r="O118" s="338">
        <f>'Salary Summary 21 for 2022-2024'!M41</f>
        <v>257576.95495209502</v>
      </c>
      <c r="P118" s="338">
        <f t="shared" si="40"/>
        <v>257576.95495209502</v>
      </c>
      <c r="Q118" s="260"/>
      <c r="R118" s="338">
        <f t="shared" si="35"/>
        <v>257576.95495209502</v>
      </c>
      <c r="S118" s="331"/>
      <c r="T118" s="344">
        <f>'Salary Summary 21 for 2022-2024'!Q41</f>
        <v>266096.44247074745</v>
      </c>
      <c r="U118" s="238"/>
      <c r="V118" s="344">
        <f>'Salary Summary 21 for 2022-2024'!U41</f>
        <v>274771.0893810438</v>
      </c>
      <c r="W118" s="53">
        <f t="shared" si="56"/>
        <v>274771.0893810438</v>
      </c>
      <c r="X118" s="53">
        <f t="shared" si="57"/>
        <v>540867.53185179131</v>
      </c>
      <c r="Y118" s="238"/>
    </row>
    <row r="119" spans="1:25" s="236" customFormat="1">
      <c r="A119" s="193">
        <f t="shared" si="36"/>
        <v>159</v>
      </c>
      <c r="B119" s="240" t="s">
        <v>377</v>
      </c>
      <c r="C119" s="323">
        <v>-973151.75</v>
      </c>
      <c r="D119" s="195">
        <v>-950000</v>
      </c>
      <c r="E119" s="195">
        <v>-335000</v>
      </c>
      <c r="F119" s="195">
        <v>-350000</v>
      </c>
      <c r="G119" s="195">
        <v>-350000</v>
      </c>
      <c r="H119" s="195"/>
      <c r="I119" s="195"/>
      <c r="J119" s="195">
        <v>-350000</v>
      </c>
      <c r="K119" s="195">
        <f>J119</f>
        <v>-350000</v>
      </c>
      <c r="L119" s="55">
        <f t="shared" si="49"/>
        <v>-1035000</v>
      </c>
      <c r="M119" s="331"/>
      <c r="N119" s="196"/>
      <c r="O119" s="338">
        <v>-350000</v>
      </c>
      <c r="P119" s="338">
        <f t="shared" si="40"/>
        <v>-350000</v>
      </c>
      <c r="Q119" s="260"/>
      <c r="R119" s="338">
        <f t="shared" si="35"/>
        <v>-350000</v>
      </c>
      <c r="S119" s="331"/>
      <c r="T119" s="248">
        <v>-350000</v>
      </c>
      <c r="U119" s="248"/>
      <c r="V119" s="248">
        <v>-350000</v>
      </c>
      <c r="W119" s="53">
        <f t="shared" si="56"/>
        <v>-350000</v>
      </c>
      <c r="X119" s="53">
        <f t="shared" si="57"/>
        <v>-700000</v>
      </c>
      <c r="Y119" s="248"/>
    </row>
    <row r="120" spans="1:25" s="345" customFormat="1">
      <c r="A120" s="252">
        <f t="shared" si="36"/>
        <v>160</v>
      </c>
      <c r="B120" s="269" t="s">
        <v>378</v>
      </c>
      <c r="C120" s="114">
        <f>SUM(C116:C119)</f>
        <v>200197.87135474221</v>
      </c>
      <c r="D120" s="114">
        <v>183175.09668068355</v>
      </c>
      <c r="E120" s="114">
        <f t="shared" ref="E120:G120" si="58">SUM(E116:E119)</f>
        <v>-35530</v>
      </c>
      <c r="F120" s="114">
        <f t="shared" si="58"/>
        <v>51840.410990011995</v>
      </c>
      <c r="G120" s="114">
        <f t="shared" si="58"/>
        <v>51840</v>
      </c>
      <c r="H120" s="114"/>
      <c r="I120" s="114">
        <f t="shared" ref="I120:K120" si="59">SUM(I116:I119)</f>
        <v>30000</v>
      </c>
      <c r="J120" s="114">
        <f t="shared" si="59"/>
        <v>-14767.840025902842</v>
      </c>
      <c r="K120" s="114">
        <f t="shared" si="59"/>
        <v>15232.159974097158</v>
      </c>
      <c r="L120" s="114">
        <f t="shared" si="49"/>
        <v>31542.159974097158</v>
      </c>
      <c r="M120" s="116"/>
      <c r="N120" s="117">
        <f t="shared" ref="N120:P120" si="60">SUM(N116:N119)</f>
        <v>30000</v>
      </c>
      <c r="O120" s="117">
        <f t="shared" si="60"/>
        <v>47563.954952095053</v>
      </c>
      <c r="P120" s="117">
        <f t="shared" si="60"/>
        <v>77563.954952095053</v>
      </c>
      <c r="Q120" s="271"/>
      <c r="R120" s="117">
        <f t="shared" si="35"/>
        <v>77563.954952095053</v>
      </c>
      <c r="S120" s="116"/>
      <c r="T120" s="119">
        <f t="shared" ref="T120:X120" si="61">SUM(T116:T119)</f>
        <v>86096.442470747454</v>
      </c>
      <c r="U120" s="119">
        <f t="shared" si="61"/>
        <v>0</v>
      </c>
      <c r="V120" s="119">
        <f t="shared" si="61"/>
        <v>94771.089381043799</v>
      </c>
      <c r="W120" s="119">
        <f t="shared" si="61"/>
        <v>94771.089381043799</v>
      </c>
      <c r="X120" s="119">
        <f t="shared" si="61"/>
        <v>180867.53185179131</v>
      </c>
      <c r="Y120" s="119"/>
    </row>
    <row r="121" spans="1:25" s="345" customFormat="1">
      <c r="A121" s="193">
        <f t="shared" si="36"/>
        <v>161</v>
      </c>
      <c r="B121" s="240"/>
      <c r="C121" s="50"/>
      <c r="D121" s="50"/>
      <c r="E121" s="50"/>
      <c r="F121" s="50"/>
      <c r="G121" s="50"/>
      <c r="H121" s="50"/>
      <c r="I121" s="50"/>
      <c r="J121" s="50"/>
      <c r="K121" s="50"/>
      <c r="L121" s="50">
        <f t="shared" si="49"/>
        <v>0</v>
      </c>
      <c r="M121" s="237"/>
      <c r="N121" s="59"/>
      <c r="O121" s="59"/>
      <c r="P121" s="59">
        <f t="shared" si="40"/>
        <v>0</v>
      </c>
      <c r="Q121" s="59"/>
      <c r="R121" s="59">
        <f t="shared" si="35"/>
        <v>0</v>
      </c>
      <c r="S121" s="237"/>
      <c r="T121" s="346"/>
      <c r="U121" s="346"/>
      <c r="V121" s="346"/>
      <c r="W121" s="346"/>
      <c r="X121" s="346"/>
      <c r="Y121" s="346"/>
    </row>
    <row r="122" spans="1:25" s="345" customFormat="1" ht="14.65" thickBot="1">
      <c r="A122" s="347">
        <f>A121+1</f>
        <v>162</v>
      </c>
      <c r="B122" s="348" t="s">
        <v>379</v>
      </c>
      <c r="C122" s="348">
        <f>C45+C24+C16+C105+C120+C108+C111</f>
        <v>9464925.0699986722</v>
      </c>
      <c r="D122" s="349">
        <v>10399057.895112257</v>
      </c>
      <c r="E122" s="349">
        <f t="shared" ref="E122:G122" si="62">E120+E105+E45+E24+E108+E111</f>
        <v>3969193</v>
      </c>
      <c r="F122" s="349" t="e">
        <f t="shared" si="62"/>
        <v>#REF!</v>
      </c>
      <c r="G122" s="349">
        <f t="shared" si="62"/>
        <v>2872956.7922002459</v>
      </c>
      <c r="H122" s="349"/>
      <c r="I122" s="349">
        <f t="shared" ref="I122:K122" si="63">I120+I105+I45+I24+I108+I111</f>
        <v>192152</v>
      </c>
      <c r="J122" s="349">
        <f t="shared" si="63"/>
        <v>2791886.8176762233</v>
      </c>
      <c r="K122" s="349">
        <f t="shared" si="63"/>
        <v>2984038.8176762233</v>
      </c>
      <c r="L122" s="349">
        <f>L120+L105+L45+L24+L108+L111</f>
        <v>9826188.6098764688</v>
      </c>
      <c r="M122" s="350"/>
      <c r="N122" s="351">
        <f t="shared" ref="N122" si="64">N120+N105+N45+N24+N108+N111</f>
        <v>192152</v>
      </c>
      <c r="O122" s="351">
        <f>O120+O105+O45+O24+O109+O112+O110+O113</f>
        <v>3392832.5008139061</v>
      </c>
      <c r="P122" s="351">
        <f>P120+P105+P45+P24+P109+P112+P110+P113</f>
        <v>3584984.5008139061</v>
      </c>
      <c r="Q122" s="352"/>
      <c r="R122" s="351">
        <f t="shared" si="35"/>
        <v>3584984.5008139061</v>
      </c>
      <c r="S122" s="350"/>
      <c r="T122" s="353">
        <f>T120+T105+T45+T24+T109+T112+T110+T113</f>
        <v>3852362.9410382602</v>
      </c>
      <c r="U122" s="353">
        <f t="shared" ref="U122:X122" si="65">U120+U105+U45+U24+U109+U112+U110+U113</f>
        <v>171000</v>
      </c>
      <c r="V122" s="353">
        <f t="shared" si="65"/>
        <v>3887706.2683463483</v>
      </c>
      <c r="W122" s="353">
        <f>W120+W105+W45+W24+W109+W112+W110+W113</f>
        <v>4058706.2683463488</v>
      </c>
      <c r="X122" s="353">
        <f t="shared" si="65"/>
        <v>7866764.1626582602</v>
      </c>
      <c r="Y122" s="353"/>
    </row>
    <row r="123" spans="1:25" s="354" customFormat="1">
      <c r="A123" s="193"/>
      <c r="B123" s="240"/>
      <c r="C123" s="240"/>
      <c r="D123" s="241"/>
      <c r="E123" s="241"/>
      <c r="F123" s="241"/>
      <c r="G123" s="241"/>
      <c r="H123" s="241"/>
      <c r="I123" s="241"/>
      <c r="J123" s="241"/>
      <c r="K123" s="241"/>
      <c r="L123" s="241"/>
      <c r="M123" s="242"/>
      <c r="N123" s="241"/>
      <c r="O123" s="241"/>
      <c r="P123" s="241"/>
      <c r="Q123" s="241"/>
      <c r="R123" s="241"/>
      <c r="S123" s="242"/>
    </row>
    <row r="125" spans="1:25">
      <c r="F125" s="241">
        <f>SUBTOTAL(9,F5:F103)</f>
        <v>3430530.8593414538</v>
      </c>
    </row>
    <row r="126" spans="1:25" s="236" customFormat="1">
      <c r="A126" s="193"/>
      <c r="B126" s="240"/>
      <c r="C126" s="241"/>
      <c r="D126" s="241"/>
      <c r="E126" s="241"/>
      <c r="F126" s="241">
        <v>450000</v>
      </c>
      <c r="G126" s="241"/>
      <c r="H126" s="241"/>
      <c r="I126" s="241"/>
      <c r="J126" s="241"/>
      <c r="K126" s="241"/>
      <c r="L126" s="241"/>
      <c r="M126" s="242"/>
      <c r="N126" s="241"/>
      <c r="O126" s="241"/>
      <c r="P126" s="241"/>
      <c r="Q126" s="241"/>
      <c r="R126" s="241"/>
      <c r="S126" s="242"/>
    </row>
    <row r="142" spans="2:19">
      <c r="B142" s="345"/>
      <c r="C142" s="214"/>
      <c r="D142" s="214"/>
      <c r="E142" s="214"/>
      <c r="F142" s="214"/>
      <c r="G142" s="214"/>
      <c r="H142" s="214"/>
      <c r="I142" s="214"/>
      <c r="J142" s="214"/>
      <c r="K142" s="214"/>
      <c r="L142" s="214"/>
      <c r="M142" s="216"/>
      <c r="N142" s="214"/>
      <c r="O142" s="214"/>
      <c r="P142" s="214"/>
      <c r="Q142" s="215"/>
      <c r="R142" s="214"/>
      <c r="S142" s="216"/>
    </row>
    <row r="143" spans="2:19">
      <c r="B143" s="345"/>
      <c r="C143" s="214"/>
      <c r="D143" s="214"/>
      <c r="E143" s="214"/>
      <c r="F143" s="214"/>
      <c r="G143" s="214"/>
      <c r="H143" s="214"/>
      <c r="I143" s="214"/>
      <c r="J143" s="214"/>
      <c r="K143" s="214"/>
      <c r="L143" s="214"/>
      <c r="M143" s="216"/>
      <c r="N143" s="214"/>
      <c r="O143" s="214"/>
      <c r="P143" s="214"/>
      <c r="Q143" s="215"/>
      <c r="R143" s="214"/>
      <c r="S143" s="216"/>
    </row>
    <row r="144" spans="2:19">
      <c r="B144" s="345"/>
      <c r="C144" s="214"/>
      <c r="D144" s="214"/>
      <c r="E144" s="214"/>
      <c r="F144" s="214"/>
      <c r="G144" s="214"/>
      <c r="H144" s="214"/>
      <c r="I144" s="214"/>
      <c r="J144" s="214"/>
      <c r="K144" s="214"/>
      <c r="L144" s="214"/>
      <c r="M144" s="216"/>
      <c r="N144" s="214"/>
      <c r="O144" s="214"/>
      <c r="P144" s="214"/>
      <c r="Q144" s="215"/>
      <c r="R144" s="214"/>
      <c r="S144" s="216"/>
    </row>
    <row r="145" spans="2:19">
      <c r="B145" s="345"/>
      <c r="C145" s="214"/>
      <c r="D145" s="214"/>
      <c r="E145" s="214"/>
      <c r="F145" s="214"/>
      <c r="G145" s="214"/>
      <c r="H145" s="214"/>
      <c r="I145" s="214"/>
      <c r="J145" s="214"/>
      <c r="K145" s="214"/>
      <c r="L145" s="214"/>
      <c r="M145" s="216"/>
      <c r="N145" s="214"/>
      <c r="O145" s="214"/>
      <c r="P145" s="214"/>
      <c r="Q145" s="215"/>
      <c r="R145" s="214"/>
      <c r="S145" s="216"/>
    </row>
    <row r="146" spans="2:19">
      <c r="B146" s="345"/>
      <c r="C146" s="222"/>
      <c r="D146" s="222"/>
      <c r="E146" s="222"/>
      <c r="F146" s="222"/>
      <c r="G146" s="222"/>
      <c r="H146" s="222"/>
      <c r="I146" s="222"/>
      <c r="J146" s="222"/>
      <c r="K146" s="222"/>
      <c r="L146" s="222"/>
      <c r="M146" s="355"/>
      <c r="N146" s="222"/>
      <c r="O146" s="222"/>
      <c r="P146" s="222"/>
      <c r="Q146" s="356"/>
      <c r="R146" s="222"/>
      <c r="S146" s="355"/>
    </row>
    <row r="148" spans="2:19">
      <c r="B148" s="345"/>
      <c r="C148" s="214"/>
      <c r="D148" s="214"/>
      <c r="E148" s="214"/>
      <c r="F148" s="214"/>
      <c r="G148" s="214"/>
      <c r="H148" s="214"/>
      <c r="I148" s="214"/>
      <c r="J148" s="214"/>
      <c r="K148" s="214"/>
      <c r="L148" s="214"/>
      <c r="M148" s="216"/>
      <c r="N148" s="214"/>
      <c r="O148" s="214"/>
      <c r="P148" s="214"/>
      <c r="Q148" s="215"/>
      <c r="R148" s="214"/>
      <c r="S148" s="216"/>
    </row>
    <row r="149" spans="2:19">
      <c r="C149" s="214"/>
      <c r="D149" s="214"/>
      <c r="E149" s="214"/>
      <c r="F149" s="214"/>
      <c r="G149" s="214"/>
      <c r="H149" s="214"/>
      <c r="I149" s="214"/>
      <c r="J149" s="214"/>
      <c r="K149" s="214"/>
      <c r="L149" s="214"/>
      <c r="M149" s="216"/>
      <c r="N149" s="214"/>
      <c r="O149" s="214"/>
      <c r="P149" s="214"/>
      <c r="Q149" s="215"/>
      <c r="R149" s="214"/>
      <c r="S149" s="216"/>
    </row>
  </sheetData>
  <autoFilter ref="A5:Q122" xr:uid="{65559294-E9E5-4D25-AAF2-5273D45A0617}"/>
  <printOptions horizontalCentered="1" headings="1" gridLines="1"/>
  <pageMargins left="0.25" right="0.25" top="0.75" bottom="0.25" header="0.25" footer="0.25"/>
  <pageSetup scale="49" fitToHeight="5" orientation="landscape" r:id="rId1"/>
  <headerFooter>
    <oddFooter>Page &amp;P of &amp;N</oddFooter>
  </headerFooter>
  <colBreaks count="1" manualBreakCount="1">
    <brk id="17" max="1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385B-AC8D-491B-8AE4-61BC07045586}">
  <sheetPr>
    <tabColor rgb="FF00B050"/>
    <pageSetUpPr fitToPage="1"/>
  </sheetPr>
  <dimension ref="A1:Z78"/>
  <sheetViews>
    <sheetView view="pageBreakPreview" zoomScale="60" zoomScaleNormal="100" workbookViewId="0">
      <pane xSplit="10" ySplit="5" topLeftCell="K6" activePane="bottomRight" state="frozen"/>
      <selection activeCell="B23" sqref="B23"/>
      <selection pane="topRight" activeCell="B23" sqref="B23"/>
      <selection pane="bottomLeft" activeCell="B23" sqref="B23"/>
      <selection pane="bottomRight" activeCell="B23" sqref="B23"/>
    </sheetView>
  </sheetViews>
  <sheetFormatPr defaultColWidth="10.625" defaultRowHeight="15.75"/>
  <cols>
    <col min="1" max="1" width="10.625" style="161"/>
    <col min="2" max="2" width="38.5" style="362" customWidth="1"/>
    <col min="3" max="3" width="15.125" style="69" hidden="1" customWidth="1"/>
    <col min="4" max="4" width="16.125" style="69" hidden="1" customWidth="1"/>
    <col min="5" max="5" width="14.25" style="69" hidden="1" customWidth="1"/>
    <col min="6" max="6" width="11.5" style="69" hidden="1" customWidth="1"/>
    <col min="7" max="7" width="13.75" style="69" hidden="1" customWidth="1"/>
    <col min="8" max="8" width="52.5" style="211" hidden="1" customWidth="1"/>
    <col min="9" max="9" width="16.875" style="69" hidden="1" customWidth="1"/>
    <col min="10" max="10" width="14.25" style="69" customWidth="1"/>
    <col min="11" max="11" width="13.5" style="69" customWidth="1"/>
    <col min="12" max="12" width="12.25" style="69" hidden="1" customWidth="1"/>
    <col min="13" max="13" width="5.5" style="212" customWidth="1"/>
    <col min="14" max="14" width="10.5" style="69" customWidth="1"/>
    <col min="15" max="15" width="10.625" style="69" customWidth="1"/>
    <col min="16" max="16" width="12.5" style="69" customWidth="1"/>
    <col min="17" max="17" width="51.125" style="361" customWidth="1"/>
    <col min="18" max="18" width="12.5" style="69" customWidth="1"/>
    <col min="19" max="19" width="6.125" style="212" hidden="1" customWidth="1"/>
    <col min="20" max="20" width="20.875" style="362" hidden="1" customWidth="1"/>
    <col min="21" max="21" width="18" style="362" hidden="1" customWidth="1"/>
    <col min="22" max="22" width="20.375" style="362" hidden="1" customWidth="1"/>
    <col min="23" max="23" width="14.5" style="362" hidden="1" customWidth="1"/>
    <col min="24" max="24" width="19.875" style="362" hidden="1" customWidth="1"/>
    <col min="25" max="25" width="49.25" style="305" hidden="1" customWidth="1"/>
    <col min="26" max="16384" width="10.625" style="362"/>
  </cols>
  <sheetData>
    <row r="1" spans="1:26" s="9" customFormat="1" ht="18">
      <c r="A1" s="1" t="s">
        <v>0</v>
      </c>
      <c r="C1" s="3"/>
      <c r="D1" s="3"/>
      <c r="E1" s="3"/>
      <c r="F1" s="3"/>
      <c r="G1" s="162"/>
      <c r="H1" s="163"/>
      <c r="I1" s="3"/>
      <c r="J1" s="3"/>
      <c r="K1" s="3"/>
      <c r="L1" s="3"/>
      <c r="M1" s="357"/>
      <c r="N1" s="357"/>
      <c r="O1" s="357"/>
      <c r="Q1" s="358" t="s">
        <v>1</v>
      </c>
      <c r="S1" s="359"/>
      <c r="Y1" s="358" t="s">
        <v>1</v>
      </c>
    </row>
    <row r="2" spans="1:26" s="9" customFormat="1" ht="18">
      <c r="A2" s="10" t="s">
        <v>1123</v>
      </c>
      <c r="B2" s="4"/>
      <c r="C2" s="4"/>
      <c r="D2" s="4"/>
      <c r="E2" s="4"/>
      <c r="F2" s="4"/>
      <c r="G2" s="162"/>
      <c r="H2" s="163"/>
      <c r="I2" s="4"/>
      <c r="J2" s="4"/>
      <c r="K2" s="4"/>
      <c r="L2" s="4"/>
      <c r="M2" s="357"/>
      <c r="N2" s="357"/>
      <c r="O2" s="357"/>
      <c r="Q2" s="360" t="s">
        <v>2</v>
      </c>
      <c r="S2" s="359"/>
      <c r="Y2" s="699"/>
    </row>
    <row r="3" spans="1:26">
      <c r="A3" s="712" t="s">
        <v>380</v>
      </c>
      <c r="B3" s="712"/>
      <c r="D3" s="361"/>
      <c r="G3" s="162"/>
      <c r="H3" s="163"/>
      <c r="Q3" s="701"/>
      <c r="Y3" s="701"/>
      <c r="Z3" s="363" t="s">
        <v>4</v>
      </c>
    </row>
    <row r="4" spans="1:26" s="154" customFormat="1" ht="16.149999999999999" thickBot="1">
      <c r="A4" s="10"/>
      <c r="C4" s="364"/>
      <c r="D4" s="364"/>
      <c r="E4" s="364"/>
      <c r="F4" s="364"/>
      <c r="G4" s="364"/>
      <c r="H4" s="365"/>
      <c r="I4" s="364"/>
      <c r="J4" s="364"/>
      <c r="K4" s="364"/>
      <c r="L4" s="364"/>
      <c r="M4" s="366"/>
      <c r="N4" s="364"/>
      <c r="O4" s="364"/>
      <c r="P4" s="364"/>
      <c r="Q4" s="367"/>
      <c r="R4" s="364"/>
      <c r="S4" s="366"/>
      <c r="Y4" s="150"/>
    </row>
    <row r="5" spans="1:26" s="160" customFormat="1" ht="70.5" customHeight="1" thickBot="1">
      <c r="A5" s="19" t="s">
        <v>5</v>
      </c>
      <c r="B5" s="20" t="s">
        <v>6</v>
      </c>
      <c r="C5" s="21" t="s">
        <v>7</v>
      </c>
      <c r="D5" s="22" t="s">
        <v>8</v>
      </c>
      <c r="E5" s="23" t="s">
        <v>9</v>
      </c>
      <c r="F5" s="23" t="s">
        <v>10</v>
      </c>
      <c r="G5" s="155" t="s">
        <v>11</v>
      </c>
      <c r="H5" s="23" t="s">
        <v>12</v>
      </c>
      <c r="I5" s="25" t="s">
        <v>135</v>
      </c>
      <c r="J5" s="25" t="s">
        <v>136</v>
      </c>
      <c r="K5" s="25" t="s">
        <v>15</v>
      </c>
      <c r="L5" s="25" t="s">
        <v>16</v>
      </c>
      <c r="M5" s="26"/>
      <c r="N5" s="25" t="s">
        <v>17</v>
      </c>
      <c r="O5" s="25" t="s">
        <v>18</v>
      </c>
      <c r="P5" s="25" t="s">
        <v>19</v>
      </c>
      <c r="Q5" s="25" t="s">
        <v>137</v>
      </c>
      <c r="R5" s="25" t="s">
        <v>19</v>
      </c>
      <c r="S5" s="157"/>
      <c r="T5" s="158" t="s">
        <v>138</v>
      </c>
      <c r="U5" s="158" t="s">
        <v>139</v>
      </c>
      <c r="V5" s="158" t="s">
        <v>23</v>
      </c>
      <c r="W5" s="158" t="s">
        <v>24</v>
      </c>
      <c r="X5" s="158" t="s">
        <v>25</v>
      </c>
      <c r="Y5" s="158" t="s">
        <v>26</v>
      </c>
    </row>
    <row r="6" spans="1:26" s="369" customFormat="1">
      <c r="A6" s="368">
        <f>'REC &amp; JUST'!A122+1</f>
        <v>163</v>
      </c>
      <c r="B6" s="369" t="s">
        <v>113</v>
      </c>
      <c r="C6" s="370"/>
      <c r="D6" s="370"/>
      <c r="E6" s="370"/>
      <c r="F6" s="370"/>
      <c r="G6" s="370"/>
      <c r="H6" s="371"/>
      <c r="I6" s="370"/>
      <c r="J6" s="370"/>
      <c r="K6" s="370"/>
      <c r="L6" s="370"/>
      <c r="M6" s="372"/>
      <c r="N6" s="373"/>
      <c r="O6" s="373"/>
      <c r="P6" s="373"/>
      <c r="Q6" s="374"/>
      <c r="R6" s="373"/>
      <c r="S6" s="372"/>
      <c r="T6" s="375"/>
      <c r="U6" s="375"/>
      <c r="V6" s="375"/>
      <c r="W6" s="375"/>
      <c r="X6" s="375"/>
      <c r="Y6" s="376"/>
    </row>
    <row r="7" spans="1:26" s="369" customFormat="1">
      <c r="A7" s="368"/>
      <c r="C7" s="370"/>
      <c r="D7" s="370"/>
      <c r="E7" s="370"/>
      <c r="F7" s="370"/>
      <c r="G7" s="370"/>
      <c r="H7" s="371"/>
      <c r="I7" s="370"/>
      <c r="J7" s="370"/>
      <c r="K7" s="370"/>
      <c r="L7" s="370"/>
      <c r="M7" s="372"/>
      <c r="N7" s="373"/>
      <c r="O7" s="373"/>
      <c r="P7" s="373"/>
      <c r="Q7" s="374"/>
      <c r="R7" s="373"/>
      <c r="S7" s="372"/>
      <c r="T7" s="375"/>
      <c r="U7" s="375"/>
      <c r="V7" s="375"/>
      <c r="W7" s="375"/>
      <c r="X7" s="375"/>
      <c r="Y7" s="376"/>
    </row>
    <row r="8" spans="1:26">
      <c r="A8" s="161">
        <f>A6+1</f>
        <v>164</v>
      </c>
      <c r="B8" s="362" t="s">
        <v>381</v>
      </c>
      <c r="C8" s="69">
        <v>650000</v>
      </c>
      <c r="N8" s="377"/>
      <c r="O8" s="377">
        <v>15000</v>
      </c>
      <c r="P8" s="377">
        <f t="shared" ref="P8:P19" si="0">N8+O8</f>
        <v>15000</v>
      </c>
      <c r="Q8" s="378" t="s">
        <v>382</v>
      </c>
      <c r="R8" s="377">
        <v>15000</v>
      </c>
      <c r="T8" s="379">
        <v>15000</v>
      </c>
      <c r="U8" s="379"/>
      <c r="V8" s="379">
        <v>15000</v>
      </c>
      <c r="W8" s="53">
        <f t="shared" ref="W8:W19" si="1">U8+V8</f>
        <v>15000</v>
      </c>
      <c r="X8" s="53">
        <f t="shared" ref="X8:X15" si="2">T8+W8</f>
        <v>30000</v>
      </c>
      <c r="Y8" s="380" t="s">
        <v>383</v>
      </c>
    </row>
    <row r="9" spans="1:26" ht="47.25">
      <c r="A9" s="161">
        <f t="shared" ref="A9:A14" si="3">A8+1</f>
        <v>165</v>
      </c>
      <c r="B9" s="381" t="s">
        <v>384</v>
      </c>
      <c r="D9" s="69">
        <v>45000</v>
      </c>
      <c r="E9" s="69">
        <v>3490</v>
      </c>
      <c r="F9" s="69">
        <v>25000</v>
      </c>
      <c r="G9" s="69">
        <v>45000</v>
      </c>
      <c r="H9" s="211" t="s">
        <v>385</v>
      </c>
      <c r="J9" s="69">
        <v>20000</v>
      </c>
      <c r="K9" s="69">
        <f>J9</f>
        <v>20000</v>
      </c>
      <c r="L9" s="69">
        <f t="shared" ref="L9:L20" si="4">E9+G9+K9</f>
        <v>68490</v>
      </c>
      <c r="N9" s="377"/>
      <c r="O9" s="377">
        <v>25000</v>
      </c>
      <c r="P9" s="377">
        <f t="shared" si="0"/>
        <v>25000</v>
      </c>
      <c r="Q9" s="378" t="s">
        <v>386</v>
      </c>
      <c r="R9" s="377">
        <v>25000</v>
      </c>
      <c r="T9" s="379">
        <v>25000</v>
      </c>
      <c r="U9" s="379">
        <v>5000</v>
      </c>
      <c r="V9" s="379">
        <v>25000</v>
      </c>
      <c r="W9" s="53">
        <f t="shared" si="1"/>
        <v>30000</v>
      </c>
      <c r="X9" s="53">
        <f t="shared" si="2"/>
        <v>55000</v>
      </c>
      <c r="Y9" s="382"/>
    </row>
    <row r="10" spans="1:26" ht="33" customHeight="1">
      <c r="A10" s="161">
        <f t="shared" si="3"/>
        <v>166</v>
      </c>
      <c r="B10" s="362" t="s">
        <v>387</v>
      </c>
      <c r="D10" s="69">
        <v>350000</v>
      </c>
      <c r="F10" s="69">
        <v>116667</v>
      </c>
      <c r="G10" s="69">
        <v>116667</v>
      </c>
      <c r="H10" s="383" t="s">
        <v>388</v>
      </c>
      <c r="J10" s="69">
        <v>116000</v>
      </c>
      <c r="K10" s="69">
        <f t="shared" ref="K10:K18" si="5">J10</f>
        <v>116000</v>
      </c>
      <c r="L10" s="69">
        <f t="shared" si="4"/>
        <v>232667</v>
      </c>
      <c r="N10" s="377">
        <v>4000</v>
      </c>
      <c r="O10" s="377">
        <v>116000</v>
      </c>
      <c r="P10" s="377">
        <f t="shared" si="0"/>
        <v>120000</v>
      </c>
      <c r="Q10" s="378" t="s">
        <v>389</v>
      </c>
      <c r="R10" s="377">
        <v>120000</v>
      </c>
      <c r="T10" s="379">
        <v>150000</v>
      </c>
      <c r="U10" s="379">
        <v>5000</v>
      </c>
      <c r="V10" s="379">
        <v>150000</v>
      </c>
      <c r="W10" s="53">
        <f t="shared" si="1"/>
        <v>155000</v>
      </c>
      <c r="X10" s="53">
        <f t="shared" si="2"/>
        <v>305000</v>
      </c>
      <c r="Y10" s="380" t="s">
        <v>390</v>
      </c>
    </row>
    <row r="11" spans="1:26">
      <c r="A11" s="161">
        <f t="shared" si="3"/>
        <v>167</v>
      </c>
      <c r="B11" s="362" t="s">
        <v>391</v>
      </c>
      <c r="D11" s="69">
        <v>45000</v>
      </c>
      <c r="F11" s="69">
        <v>15000</v>
      </c>
      <c r="G11" s="69">
        <v>0</v>
      </c>
      <c r="H11" s="211" t="s">
        <v>392</v>
      </c>
      <c r="I11" s="69">
        <v>12000</v>
      </c>
      <c r="J11" s="69">
        <v>15000</v>
      </c>
      <c r="K11" s="69">
        <f t="shared" si="5"/>
        <v>15000</v>
      </c>
      <c r="L11" s="69">
        <f t="shared" si="4"/>
        <v>15000</v>
      </c>
      <c r="N11" s="377"/>
      <c r="O11" s="377">
        <v>15000</v>
      </c>
      <c r="P11" s="377">
        <f t="shared" si="0"/>
        <v>15000</v>
      </c>
      <c r="Q11" s="378" t="s">
        <v>393</v>
      </c>
      <c r="R11" s="377">
        <v>15000</v>
      </c>
      <c r="T11" s="379">
        <v>15000</v>
      </c>
      <c r="U11" s="379"/>
      <c r="V11" s="379">
        <v>15000</v>
      </c>
      <c r="W11" s="53">
        <f t="shared" si="1"/>
        <v>15000</v>
      </c>
      <c r="X11" s="53">
        <f t="shared" si="2"/>
        <v>30000</v>
      </c>
      <c r="Y11" s="380"/>
    </row>
    <row r="12" spans="1:26" ht="31.5">
      <c r="A12" s="161">
        <f t="shared" si="3"/>
        <v>168</v>
      </c>
      <c r="B12" s="381" t="s">
        <v>394</v>
      </c>
      <c r="D12" s="69">
        <v>60000</v>
      </c>
      <c r="F12" s="69">
        <v>20000</v>
      </c>
      <c r="G12" s="69">
        <v>0</v>
      </c>
      <c r="H12" s="211" t="s">
        <v>395</v>
      </c>
      <c r="J12" s="69">
        <v>10000</v>
      </c>
      <c r="K12" s="69">
        <f t="shared" si="5"/>
        <v>10000</v>
      </c>
      <c r="L12" s="69">
        <f t="shared" si="4"/>
        <v>10000</v>
      </c>
      <c r="N12" s="377"/>
      <c r="O12" s="377">
        <v>40000</v>
      </c>
      <c r="P12" s="377">
        <f t="shared" si="0"/>
        <v>40000</v>
      </c>
      <c r="Q12" s="378"/>
      <c r="R12" s="377">
        <v>40000</v>
      </c>
      <c r="T12" s="379">
        <v>40000</v>
      </c>
      <c r="U12" s="379">
        <v>5000</v>
      </c>
      <c r="V12" s="379">
        <v>40000</v>
      </c>
      <c r="W12" s="53">
        <f t="shared" si="1"/>
        <v>45000</v>
      </c>
      <c r="X12" s="53">
        <f t="shared" si="2"/>
        <v>85000</v>
      </c>
      <c r="Y12" s="384" t="s">
        <v>396</v>
      </c>
    </row>
    <row r="13" spans="1:26">
      <c r="A13" s="161">
        <f t="shared" si="3"/>
        <v>169</v>
      </c>
      <c r="B13" s="305" t="s">
        <v>397</v>
      </c>
      <c r="D13" s="69">
        <v>0</v>
      </c>
      <c r="G13" s="69">
        <v>0</v>
      </c>
      <c r="K13" s="69">
        <f t="shared" si="5"/>
        <v>0</v>
      </c>
      <c r="L13" s="69">
        <f t="shared" si="4"/>
        <v>0</v>
      </c>
      <c r="N13" s="377"/>
      <c r="O13" s="377"/>
      <c r="P13" s="377">
        <f t="shared" si="0"/>
        <v>0</v>
      </c>
      <c r="Q13" s="378"/>
      <c r="R13" s="377">
        <v>0</v>
      </c>
      <c r="T13" s="379"/>
      <c r="U13" s="379"/>
      <c r="V13" s="379"/>
      <c r="W13" s="53">
        <f t="shared" si="1"/>
        <v>0</v>
      </c>
      <c r="X13" s="53">
        <f t="shared" si="2"/>
        <v>0</v>
      </c>
      <c r="Y13" s="380"/>
    </row>
    <row r="14" spans="1:26">
      <c r="A14" s="161">
        <f t="shared" si="3"/>
        <v>170</v>
      </c>
      <c r="B14" s="381" t="s">
        <v>398</v>
      </c>
      <c r="D14" s="69">
        <v>0</v>
      </c>
      <c r="H14" s="211" t="s">
        <v>399</v>
      </c>
      <c r="J14" s="69">
        <v>5000</v>
      </c>
      <c r="K14" s="69">
        <f t="shared" si="5"/>
        <v>5000</v>
      </c>
      <c r="L14" s="69">
        <f t="shared" si="4"/>
        <v>5000</v>
      </c>
      <c r="N14" s="377"/>
      <c r="O14" s="377">
        <v>10000</v>
      </c>
      <c r="P14" s="377">
        <f t="shared" si="0"/>
        <v>10000</v>
      </c>
      <c r="Q14" s="378" t="s">
        <v>400</v>
      </c>
      <c r="R14" s="377">
        <v>10000</v>
      </c>
      <c r="T14" s="379">
        <v>10000</v>
      </c>
      <c r="U14" s="379"/>
      <c r="V14" s="379">
        <v>10000</v>
      </c>
      <c r="W14" s="53">
        <f t="shared" si="1"/>
        <v>10000</v>
      </c>
      <c r="X14" s="53">
        <f t="shared" si="2"/>
        <v>20000</v>
      </c>
      <c r="Y14" s="380" t="s">
        <v>400</v>
      </c>
    </row>
    <row r="15" spans="1:26" ht="31.5">
      <c r="A15" s="161" t="s">
        <v>401</v>
      </c>
      <c r="B15" s="381" t="s">
        <v>402</v>
      </c>
      <c r="D15" s="69">
        <v>90000</v>
      </c>
      <c r="E15" s="69">
        <f>22726+3239+58</f>
        <v>26023</v>
      </c>
      <c r="F15" s="69">
        <v>30000</v>
      </c>
      <c r="G15" s="69">
        <v>15000</v>
      </c>
      <c r="H15" s="211" t="s">
        <v>403</v>
      </c>
      <c r="I15" s="69">
        <v>8000</v>
      </c>
      <c r="J15" s="69">
        <v>26000</v>
      </c>
      <c r="K15" s="69">
        <f t="shared" si="5"/>
        <v>26000</v>
      </c>
      <c r="L15" s="69">
        <f t="shared" si="4"/>
        <v>67023</v>
      </c>
      <c r="N15" s="377">
        <v>8000</v>
      </c>
      <c r="O15" s="377">
        <v>35000</v>
      </c>
      <c r="P15" s="377">
        <f t="shared" si="0"/>
        <v>43000</v>
      </c>
      <c r="Q15" s="378"/>
      <c r="R15" s="377">
        <v>43000</v>
      </c>
      <c r="T15" s="379">
        <v>40000</v>
      </c>
      <c r="U15" s="379">
        <v>10000</v>
      </c>
      <c r="V15" s="379">
        <v>40000</v>
      </c>
      <c r="W15" s="53">
        <f t="shared" si="1"/>
        <v>50000</v>
      </c>
      <c r="X15" s="53">
        <f t="shared" si="2"/>
        <v>90000</v>
      </c>
      <c r="Y15" s="380" t="s">
        <v>404</v>
      </c>
    </row>
    <row r="16" spans="1:26" ht="43.15" customHeight="1">
      <c r="A16" s="161">
        <v>172</v>
      </c>
      <c r="B16" s="385" t="s">
        <v>405</v>
      </c>
      <c r="C16" s="69">
        <v>0</v>
      </c>
      <c r="D16" s="69">
        <v>275374.21883553331</v>
      </c>
      <c r="E16" s="274">
        <v>22215</v>
      </c>
      <c r="F16" s="274">
        <f>'[3]Salary Summary 19 for 2019-2021'!L14</f>
        <v>98731.208399999989</v>
      </c>
      <c r="G16" s="274">
        <f>F16</f>
        <v>98731.208399999989</v>
      </c>
      <c r="H16" s="276"/>
      <c r="I16" s="274"/>
      <c r="J16" s="274">
        <f>'[3]Salary Summary 20 for 2019-2021'!P14</f>
        <v>81771.83157200001</v>
      </c>
      <c r="K16" s="69">
        <f t="shared" si="5"/>
        <v>81771.83157200001</v>
      </c>
      <c r="L16" s="69">
        <f t="shared" si="4"/>
        <v>202718.039972</v>
      </c>
      <c r="N16" s="278"/>
      <c r="O16" s="377">
        <f>'Salary Summary 21 for 2022-2024'!M15</f>
        <v>91872.727843400018</v>
      </c>
      <c r="P16" s="377">
        <f t="shared" si="0"/>
        <v>91872.727843400018</v>
      </c>
      <c r="Q16" s="378" t="s">
        <v>406</v>
      </c>
      <c r="R16" s="377">
        <v>95000</v>
      </c>
      <c r="T16" s="191">
        <f>'Salary Summary 21 for 2022-2024'!Q15</f>
        <v>93643.963318350026</v>
      </c>
      <c r="U16" s="379"/>
      <c r="V16" s="191">
        <f>'Salary Summary 21 for 2022-2024'!U15</f>
        <v>96564.116518593655</v>
      </c>
      <c r="W16" s="53">
        <f t="shared" si="1"/>
        <v>96564.116518593655</v>
      </c>
      <c r="X16" s="53">
        <f>T16+W16</f>
        <v>190208.07983694368</v>
      </c>
      <c r="Y16" s="386"/>
    </row>
    <row r="17" spans="1:25" ht="63">
      <c r="A17" s="161" t="s">
        <v>407</v>
      </c>
      <c r="B17" s="362" t="s">
        <v>408</v>
      </c>
      <c r="D17" s="69">
        <v>134626</v>
      </c>
      <c r="E17" s="387">
        <v>163058</v>
      </c>
      <c r="F17" s="69">
        <v>45000</v>
      </c>
      <c r="G17" s="69">
        <v>35000</v>
      </c>
      <c r="H17" s="388" t="s">
        <v>409</v>
      </c>
      <c r="J17" s="69">
        <v>34626</v>
      </c>
      <c r="K17" s="69">
        <f t="shared" si="5"/>
        <v>34626</v>
      </c>
      <c r="L17" s="69">
        <f t="shared" si="4"/>
        <v>232684</v>
      </c>
      <c r="N17" s="377"/>
      <c r="O17" s="377"/>
      <c r="P17" s="377">
        <f t="shared" si="0"/>
        <v>0</v>
      </c>
      <c r="Q17" s="378" t="s">
        <v>396</v>
      </c>
      <c r="R17" s="377"/>
      <c r="T17" s="379"/>
      <c r="U17" s="379">
        <v>5000</v>
      </c>
      <c r="V17" s="379"/>
      <c r="W17" s="53">
        <f t="shared" si="1"/>
        <v>5000</v>
      </c>
      <c r="X17" s="53">
        <f t="shared" ref="X17:X19" si="6">T17+W17</f>
        <v>5000</v>
      </c>
      <c r="Y17" s="380"/>
    </row>
    <row r="18" spans="1:25">
      <c r="A18" s="161" t="s">
        <v>410</v>
      </c>
      <c r="B18" s="362" t="s">
        <v>411</v>
      </c>
      <c r="D18" s="69">
        <v>0</v>
      </c>
      <c r="E18" s="389"/>
      <c r="F18" s="69">
        <v>14000</v>
      </c>
      <c r="G18" s="69">
        <v>4000</v>
      </c>
      <c r="H18" s="211" t="s">
        <v>412</v>
      </c>
      <c r="J18" s="69">
        <v>14000</v>
      </c>
      <c r="K18" s="69">
        <f t="shared" si="5"/>
        <v>14000</v>
      </c>
      <c r="L18" s="69">
        <f t="shared" si="4"/>
        <v>18000</v>
      </c>
      <c r="N18" s="377"/>
      <c r="O18" s="377"/>
      <c r="P18" s="377">
        <f t="shared" si="0"/>
        <v>0</v>
      </c>
      <c r="Q18" s="378"/>
      <c r="R18" s="377">
        <v>0</v>
      </c>
      <c r="T18" s="379"/>
      <c r="U18" s="379"/>
      <c r="V18" s="379"/>
      <c r="W18" s="53">
        <f t="shared" si="1"/>
        <v>0</v>
      </c>
      <c r="X18" s="53">
        <f t="shared" si="6"/>
        <v>0</v>
      </c>
      <c r="Y18" s="376"/>
    </row>
    <row r="19" spans="1:25">
      <c r="A19" s="161" t="s">
        <v>413</v>
      </c>
      <c r="B19" s="362" t="s">
        <v>179</v>
      </c>
      <c r="E19" s="389"/>
      <c r="K19" s="69">
        <f>I20</f>
        <v>20000</v>
      </c>
      <c r="L19" s="69">
        <f t="shared" si="4"/>
        <v>20000</v>
      </c>
      <c r="N19" s="377"/>
      <c r="O19" s="377"/>
      <c r="P19" s="377">
        <f t="shared" si="0"/>
        <v>0</v>
      </c>
      <c r="Q19" s="378"/>
      <c r="R19" s="377">
        <v>0</v>
      </c>
      <c r="T19" s="379"/>
      <c r="U19" s="379"/>
      <c r="V19" s="379"/>
      <c r="W19" s="53">
        <f t="shared" si="1"/>
        <v>0</v>
      </c>
      <c r="X19" s="53">
        <f t="shared" si="6"/>
        <v>0</v>
      </c>
      <c r="Y19" s="380"/>
    </row>
    <row r="20" spans="1:25" s="390" customFormat="1" ht="16.149999999999999" thickBot="1">
      <c r="A20" s="203">
        <v>174</v>
      </c>
      <c r="B20" s="390" t="s">
        <v>414</v>
      </c>
      <c r="C20" s="205">
        <f>SUM(C8:C15)</f>
        <v>650000</v>
      </c>
      <c r="D20" s="205">
        <f>SUM(D9:D19)</f>
        <v>1000000.2188355334</v>
      </c>
      <c r="E20" s="205">
        <f t="shared" ref="E20:H20" si="7">SUM(E9:E19)</f>
        <v>214786</v>
      </c>
      <c r="F20" s="205">
        <f t="shared" si="7"/>
        <v>364398.2084</v>
      </c>
      <c r="G20" s="205">
        <f t="shared" si="7"/>
        <v>314398.2084</v>
      </c>
      <c r="H20" s="205">
        <f t="shared" si="7"/>
        <v>0</v>
      </c>
      <c r="I20" s="205">
        <f t="shared" ref="I20:K20" si="8">SUM(I8:I19)</f>
        <v>20000</v>
      </c>
      <c r="J20" s="205">
        <f t="shared" si="8"/>
        <v>322397.831572</v>
      </c>
      <c r="K20" s="205">
        <f t="shared" si="8"/>
        <v>342397.831572</v>
      </c>
      <c r="L20" s="205">
        <f t="shared" si="4"/>
        <v>871582.03997200006</v>
      </c>
      <c r="M20" s="206"/>
      <c r="N20" s="207">
        <f t="shared" ref="N20:O20" si="9">SUM(N8:N19)</f>
        <v>12000</v>
      </c>
      <c r="O20" s="207">
        <f t="shared" si="9"/>
        <v>347872.72784340003</v>
      </c>
      <c r="P20" s="207">
        <f>SUM(P8:P19)</f>
        <v>359872.72784340003</v>
      </c>
      <c r="Q20" s="391"/>
      <c r="R20" s="207">
        <v>363000</v>
      </c>
      <c r="S20" s="206"/>
      <c r="T20" s="208">
        <f t="shared" ref="T20:W20" si="10">SUM(T8:T19)</f>
        <v>388643.96331835003</v>
      </c>
      <c r="U20" s="208">
        <f t="shared" si="10"/>
        <v>30000</v>
      </c>
      <c r="V20" s="208">
        <f t="shared" si="10"/>
        <v>391564.11651859363</v>
      </c>
      <c r="W20" s="208">
        <f t="shared" si="10"/>
        <v>421564.11651859363</v>
      </c>
      <c r="X20" s="208">
        <f>SUM(X8:X19)</f>
        <v>810208.07983694365</v>
      </c>
      <c r="Y20" s="392"/>
    </row>
    <row r="21" spans="1:25" s="369" customFormat="1">
      <c r="A21" s="368"/>
      <c r="C21" s="370"/>
      <c r="D21" s="370"/>
      <c r="E21" s="370"/>
      <c r="F21" s="370"/>
      <c r="G21" s="370"/>
      <c r="H21" s="371"/>
      <c r="I21" s="370"/>
      <c r="J21" s="370"/>
      <c r="K21" s="370"/>
      <c r="L21" s="370"/>
      <c r="M21" s="372"/>
      <c r="N21" s="373"/>
      <c r="O21" s="373"/>
      <c r="P21" s="373"/>
      <c r="Q21" s="374"/>
      <c r="R21" s="373"/>
      <c r="S21" s="372"/>
      <c r="T21" s="375"/>
      <c r="U21" s="375"/>
      <c r="V21" s="375"/>
      <c r="W21" s="375"/>
      <c r="X21" s="375"/>
      <c r="Y21" s="376"/>
    </row>
    <row r="22" spans="1:25">
      <c r="K22" s="69">
        <f>SUM(I22:J22)</f>
        <v>0</v>
      </c>
      <c r="N22" s="377"/>
      <c r="O22" s="377"/>
      <c r="P22" s="377"/>
      <c r="Q22" s="378"/>
      <c r="R22" s="377"/>
      <c r="T22" s="379"/>
      <c r="U22" s="379"/>
      <c r="V22" s="379"/>
      <c r="W22" s="379"/>
      <c r="X22" s="379"/>
      <c r="Y22" s="380"/>
    </row>
    <row r="23" spans="1:25">
      <c r="B23" s="213"/>
      <c r="C23" s="213"/>
      <c r="D23" s="213"/>
      <c r="E23" s="213"/>
      <c r="F23" s="213"/>
      <c r="G23" s="213"/>
      <c r="H23" s="169"/>
      <c r="I23" s="213"/>
      <c r="J23" s="213"/>
      <c r="K23" s="213"/>
      <c r="L23" s="213"/>
      <c r="M23" s="393"/>
      <c r="N23" s="213"/>
      <c r="O23" s="213"/>
      <c r="P23" s="213"/>
      <c r="Q23" s="378"/>
      <c r="R23" s="213"/>
      <c r="S23" s="393"/>
    </row>
    <row r="24" spans="1:25" s="9" customFormat="1">
      <c r="A24" s="161"/>
      <c r="B24" s="362"/>
      <c r="C24" s="69"/>
      <c r="D24" s="69"/>
      <c r="E24" s="69"/>
      <c r="F24" s="69"/>
      <c r="G24" s="69"/>
      <c r="H24" s="211"/>
      <c r="I24" s="69"/>
      <c r="J24" s="69"/>
      <c r="K24" s="69"/>
      <c r="L24" s="69"/>
      <c r="M24" s="212"/>
      <c r="N24" s="69"/>
      <c r="O24" s="69"/>
      <c r="P24" s="69"/>
      <c r="Q24" s="378"/>
      <c r="R24" s="69"/>
      <c r="S24" s="212"/>
      <c r="Y24" s="11"/>
    </row>
    <row r="25" spans="1:25" s="9" customFormat="1">
      <c r="A25" s="161"/>
      <c r="B25" s="362"/>
      <c r="C25" s="69"/>
      <c r="D25" s="69"/>
      <c r="E25" s="69"/>
      <c r="F25" s="69"/>
      <c r="G25" s="69"/>
      <c r="H25" s="211"/>
      <c r="I25" s="69"/>
      <c r="J25" s="69"/>
      <c r="K25" s="69"/>
      <c r="L25" s="69"/>
      <c r="M25" s="212"/>
      <c r="N25" s="69"/>
      <c r="O25" s="69"/>
      <c r="P25" s="69"/>
      <c r="Q25" s="378"/>
      <c r="R25" s="69"/>
      <c r="S25" s="212"/>
      <c r="Y25" s="11"/>
    </row>
    <row r="26" spans="1:25" s="9" customFormat="1">
      <c r="A26" s="161"/>
      <c r="B26"/>
      <c r="C26" s="214"/>
      <c r="D26" s="214"/>
      <c r="E26" s="214"/>
      <c r="F26" s="214"/>
      <c r="G26" s="214"/>
      <c r="H26" s="215"/>
      <c r="I26" s="214"/>
      <c r="J26" s="214"/>
      <c r="K26" s="214"/>
      <c r="L26" s="214"/>
      <c r="M26" s="216"/>
      <c r="N26" s="214"/>
      <c r="O26" s="214"/>
      <c r="P26" s="214"/>
      <c r="Q26" s="394"/>
      <c r="R26" s="214"/>
      <c r="S26" s="216"/>
      <c r="Y26" s="11"/>
    </row>
    <row r="27" spans="1:25" s="9" customFormat="1">
      <c r="A27" s="161"/>
      <c r="B27"/>
      <c r="C27" s="214"/>
      <c r="D27" s="214"/>
      <c r="E27" s="214"/>
      <c r="F27" s="214">
        <f>SUBTOTAL(9,F9:F12)</f>
        <v>176667</v>
      </c>
      <c r="G27" s="214"/>
      <c r="H27" s="215"/>
      <c r="I27" s="214"/>
      <c r="J27" s="214"/>
      <c r="K27" s="214"/>
      <c r="L27" s="214"/>
      <c r="M27" s="216"/>
      <c r="N27" s="214"/>
      <c r="O27" s="214"/>
      <c r="P27" s="214"/>
      <c r="Q27" s="394"/>
      <c r="R27" s="214"/>
      <c r="S27" s="216"/>
      <c r="Y27" s="11"/>
    </row>
    <row r="28" spans="1:25" s="9" customFormat="1">
      <c r="A28" s="161"/>
      <c r="B28"/>
      <c r="C28" s="214"/>
      <c r="D28" s="214"/>
      <c r="E28" s="214"/>
      <c r="F28" s="214">
        <v>161000</v>
      </c>
      <c r="G28" s="214"/>
      <c r="H28" s="215"/>
      <c r="I28" s="214"/>
      <c r="J28" s="214"/>
      <c r="K28" s="214"/>
      <c r="L28" s="214"/>
      <c r="M28" s="216"/>
      <c r="N28" s="214"/>
      <c r="O28" s="214"/>
      <c r="P28" s="214"/>
      <c r="Q28" s="394"/>
      <c r="R28" s="214"/>
      <c r="S28" s="216"/>
      <c r="Y28" s="11"/>
    </row>
    <row r="29" spans="1:25">
      <c r="B29"/>
      <c r="C29" s="214"/>
      <c r="D29" s="214"/>
      <c r="E29" s="214"/>
      <c r="F29" s="214"/>
      <c r="G29" s="214"/>
      <c r="H29" s="215"/>
      <c r="I29" s="214"/>
      <c r="J29" s="214"/>
      <c r="K29" s="214"/>
      <c r="L29" s="214"/>
      <c r="M29" s="216"/>
      <c r="N29" s="214"/>
      <c r="O29" s="214"/>
      <c r="P29" s="214"/>
      <c r="Q29" s="394"/>
      <c r="R29" s="214"/>
      <c r="S29" s="216"/>
    </row>
    <row r="30" spans="1:25">
      <c r="B30"/>
      <c r="C30" s="395"/>
      <c r="D30" s="395"/>
      <c r="E30" s="395"/>
      <c r="F30" s="395"/>
      <c r="G30" s="395"/>
      <c r="H30" s="396"/>
      <c r="I30" s="395"/>
      <c r="J30" s="395"/>
      <c r="K30" s="395"/>
      <c r="L30" s="395"/>
      <c r="M30" s="397"/>
      <c r="N30" s="395"/>
      <c r="O30" s="395"/>
      <c r="P30" s="395"/>
      <c r="Q30" s="398"/>
      <c r="R30" s="395"/>
      <c r="S30" s="397"/>
    </row>
    <row r="31" spans="1:25">
      <c r="B31"/>
      <c r="C31" s="395"/>
      <c r="D31" s="395"/>
      <c r="E31" s="395"/>
      <c r="F31" s="395"/>
      <c r="G31" s="395"/>
      <c r="H31" s="396"/>
      <c r="I31" s="395"/>
      <c r="J31" s="395"/>
      <c r="K31" s="395"/>
      <c r="L31" s="395"/>
      <c r="M31" s="397"/>
      <c r="N31" s="395"/>
      <c r="O31" s="395"/>
      <c r="P31" s="395"/>
      <c r="Q31" s="398"/>
      <c r="R31" s="395"/>
      <c r="S31" s="397"/>
    </row>
    <row r="32" spans="1:25">
      <c r="Q32" s="378"/>
    </row>
    <row r="33" spans="1:17">
      <c r="Q33" s="378"/>
    </row>
    <row r="34" spans="1:17">
      <c r="Q34" s="378"/>
    </row>
    <row r="35" spans="1:17">
      <c r="Q35" s="378"/>
    </row>
    <row r="36" spans="1:17">
      <c r="Q36" s="378"/>
    </row>
    <row r="37" spans="1:17">
      <c r="Q37" s="378"/>
    </row>
    <row r="38" spans="1:17">
      <c r="Q38" s="378"/>
    </row>
    <row r="39" spans="1:17">
      <c r="Q39" s="378"/>
    </row>
    <row r="40" spans="1:17">
      <c r="Q40" s="378"/>
    </row>
    <row r="41" spans="1:17">
      <c r="Q41" s="378"/>
    </row>
    <row r="43" spans="1:17">
      <c r="A43" s="161" t="s">
        <v>415</v>
      </c>
      <c r="B43" s="362" t="s">
        <v>186</v>
      </c>
      <c r="K43" s="69">
        <v>12000</v>
      </c>
    </row>
    <row r="44" spans="1:17">
      <c r="K44" s="69">
        <f>SUM(K35:K43)</f>
        <v>12000</v>
      </c>
      <c r="L44" s="69">
        <f>SUM(L35:L43)</f>
        <v>0</v>
      </c>
    </row>
    <row r="50" spans="10:10">
      <c r="J50" s="69">
        <f>SUM(J46:J49)</f>
        <v>0</v>
      </c>
    </row>
    <row r="65" spans="1:17">
      <c r="A65" s="161" t="s">
        <v>185</v>
      </c>
      <c r="B65" s="362" t="s">
        <v>186</v>
      </c>
      <c r="K65" s="69">
        <v>6000</v>
      </c>
    </row>
    <row r="66" spans="1:17">
      <c r="J66" s="69">
        <f>SUM(J55:J65)</f>
        <v>0</v>
      </c>
      <c r="K66" s="69">
        <f>SUM(K55:K65)</f>
        <v>6000</v>
      </c>
    </row>
    <row r="78" spans="1:17">
      <c r="Q78" s="361" t="s">
        <v>187</v>
      </c>
    </row>
  </sheetData>
  <autoFilter ref="A5:Q25" xr:uid="{B3184E47-F1F2-4D37-BBCF-A21404B0025E}"/>
  <mergeCells count="1">
    <mergeCell ref="A3:B3"/>
  </mergeCells>
  <printOptions horizontalCentered="1" headings="1" gridLines="1"/>
  <pageMargins left="0.25" right="0.25" top="0.75" bottom="0.25" header="0.25" footer="0.25"/>
  <pageSetup scale="53" orientation="landscape" r:id="rId1"/>
  <headerFooter>
    <oddFooter>Page &amp;P of &amp;N</oddFooter>
  </headerFooter>
  <colBreaks count="1" manualBreakCount="1">
    <brk id="17"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7B46B-B0E2-4FC7-941F-EF92122B5545}">
  <sheetPr>
    <tabColor rgb="FF00B050"/>
    <pageSetUpPr fitToPage="1"/>
  </sheetPr>
  <dimension ref="A1:Z81"/>
  <sheetViews>
    <sheetView view="pageBreakPreview" zoomScale="60" zoomScaleNormal="100" workbookViewId="0">
      <pane xSplit="4" ySplit="5" topLeftCell="E6" activePane="bottomRight" state="frozen"/>
      <selection activeCell="B23" sqref="B23"/>
      <selection pane="topRight" activeCell="B23" sqref="B23"/>
      <selection pane="bottomLeft" activeCell="B23" sqref="B23"/>
      <selection pane="bottomRight" activeCell="B23" sqref="B23"/>
    </sheetView>
  </sheetViews>
  <sheetFormatPr defaultColWidth="10.625" defaultRowHeight="15.75"/>
  <cols>
    <col min="1" max="1" width="10.625" style="193"/>
    <col min="2" max="2" width="39" style="407" customWidth="1"/>
    <col min="3" max="3" width="15.375" style="195" hidden="1" customWidth="1"/>
    <col min="4" max="4" width="16.125" style="195" hidden="1" customWidth="1"/>
    <col min="5" max="5" width="14.25" style="195" hidden="1" customWidth="1"/>
    <col min="6" max="6" width="23.375" style="195" hidden="1" customWidth="1"/>
    <col min="7" max="7" width="15.75" style="195" hidden="1" customWidth="1"/>
    <col min="8" max="8" width="16.625" style="241" hidden="1" customWidth="1"/>
    <col min="9" max="9" width="13.375" style="195" hidden="1" customWidth="1"/>
    <col min="10" max="10" width="22.5" style="195" customWidth="1"/>
    <col min="11" max="11" width="13.5" style="195" customWidth="1"/>
    <col min="12" max="12" width="12.25" style="195" hidden="1" customWidth="1"/>
    <col min="13" max="13" width="5.5" style="273" customWidth="1"/>
    <col min="14" max="14" width="10.5" style="195" customWidth="1"/>
    <col min="15" max="15" width="10.625" style="195" customWidth="1"/>
    <col min="16" max="16" width="13.375" style="195" customWidth="1"/>
    <col min="17" max="17" width="51.125" style="425" customWidth="1"/>
    <col min="18" max="18" width="13.375" style="195" customWidth="1"/>
    <col min="19" max="19" width="6.125" style="273" hidden="1" customWidth="1"/>
    <col min="20" max="20" width="20.875" style="9" hidden="1" customWidth="1"/>
    <col min="21" max="21" width="18" style="9" hidden="1" customWidth="1"/>
    <col min="22" max="22" width="20.375" style="9" hidden="1" customWidth="1"/>
    <col min="23" max="23" width="14.5" style="9" hidden="1" customWidth="1"/>
    <col min="24" max="24" width="19.875" style="9" hidden="1" customWidth="1"/>
    <col min="25" max="25" width="51.75" style="9" hidden="1" customWidth="1"/>
    <col min="26" max="16384" width="10.625" style="408"/>
  </cols>
  <sheetData>
    <row r="1" spans="1:26" s="141" customFormat="1">
      <c r="A1" s="1" t="s">
        <v>0</v>
      </c>
      <c r="C1" s="136"/>
      <c r="D1" s="136"/>
      <c r="E1" s="136"/>
      <c r="F1" s="136"/>
      <c r="G1" s="137"/>
      <c r="H1" s="138"/>
      <c r="I1" s="136"/>
      <c r="J1" s="136"/>
      <c r="K1" s="136"/>
      <c r="L1" s="136"/>
      <c r="M1" s="139"/>
      <c r="N1" s="140"/>
      <c r="O1" s="140"/>
      <c r="Q1" s="142" t="s">
        <v>1</v>
      </c>
      <c r="S1" s="143"/>
      <c r="Y1" s="142" t="s">
        <v>1</v>
      </c>
    </row>
    <row r="2" spans="1:26" s="141" customFormat="1" ht="16.149999999999999" thickBot="1">
      <c r="A2" s="10" t="s">
        <v>1123</v>
      </c>
      <c r="B2" s="144"/>
      <c r="C2" s="144"/>
      <c r="D2" s="144"/>
      <c r="E2" s="144"/>
      <c r="F2" s="144"/>
      <c r="G2" s="137"/>
      <c r="H2" s="138"/>
      <c r="I2" s="144"/>
      <c r="J2" s="144"/>
      <c r="K2" s="144"/>
      <c r="L2" s="144"/>
      <c r="M2" s="140"/>
      <c r="N2" s="140"/>
      <c r="O2" s="140"/>
      <c r="Q2" s="145" t="s">
        <v>2</v>
      </c>
      <c r="S2" s="143"/>
      <c r="Y2" s="705"/>
    </row>
    <row r="3" spans="1:26" s="402" customFormat="1">
      <c r="A3" s="10" t="s">
        <v>416</v>
      </c>
      <c r="B3" s="10"/>
      <c r="C3" s="10"/>
      <c r="D3" s="399"/>
      <c r="E3" s="399"/>
      <c r="F3" s="399"/>
      <c r="G3" s="137"/>
      <c r="H3" s="138"/>
      <c r="I3" s="399"/>
      <c r="J3" s="399"/>
      <c r="K3" s="399"/>
      <c r="L3" s="399"/>
      <c r="M3" s="400"/>
      <c r="N3" s="399"/>
      <c r="O3" s="399"/>
      <c r="P3" s="399"/>
      <c r="Q3" s="705"/>
      <c r="R3" s="399"/>
      <c r="S3" s="400"/>
      <c r="T3" s="141"/>
      <c r="U3" s="141"/>
      <c r="V3" s="141"/>
      <c r="W3" s="141"/>
      <c r="X3" s="141"/>
      <c r="Y3" s="705"/>
      <c r="Z3" s="401" t="s">
        <v>4</v>
      </c>
    </row>
    <row r="4" spans="1:26" s="222" customFormat="1" ht="16.149999999999999" thickBot="1">
      <c r="A4" s="221"/>
      <c r="B4" s="356"/>
      <c r="C4" s="403"/>
      <c r="D4" s="403"/>
      <c r="E4" s="403"/>
      <c r="F4" s="403"/>
      <c r="G4" s="403"/>
      <c r="H4" s="404"/>
      <c r="I4" s="403"/>
      <c r="J4" s="403"/>
      <c r="K4" s="403"/>
      <c r="L4" s="403"/>
      <c r="M4" s="405"/>
      <c r="N4" s="403"/>
      <c r="O4" s="403"/>
      <c r="P4" s="403"/>
      <c r="Q4" s="406"/>
      <c r="R4" s="403"/>
      <c r="S4" s="405"/>
      <c r="T4" s="154"/>
      <c r="U4" s="154"/>
      <c r="V4" s="154"/>
      <c r="W4" s="154"/>
      <c r="X4" s="154"/>
      <c r="Y4" s="154"/>
    </row>
    <row r="5" spans="1:26" s="160" customFormat="1" ht="65.45" customHeight="1" thickBot="1">
      <c r="A5" s="19" t="s">
        <v>5</v>
      </c>
      <c r="B5" s="20" t="s">
        <v>6</v>
      </c>
      <c r="C5" s="21" t="s">
        <v>7</v>
      </c>
      <c r="D5" s="22" t="s">
        <v>8</v>
      </c>
      <c r="E5" s="23" t="s">
        <v>9</v>
      </c>
      <c r="F5" s="23" t="s">
        <v>10</v>
      </c>
      <c r="G5" s="155" t="s">
        <v>11</v>
      </c>
      <c r="H5" s="23" t="s">
        <v>12</v>
      </c>
      <c r="I5" s="25" t="s">
        <v>135</v>
      </c>
      <c r="J5" s="25" t="s">
        <v>136</v>
      </c>
      <c r="K5" s="25" t="s">
        <v>15</v>
      </c>
      <c r="L5" s="25" t="s">
        <v>16</v>
      </c>
      <c r="M5" s="26"/>
      <c r="N5" s="156" t="s">
        <v>17</v>
      </c>
      <c r="O5" s="156" t="s">
        <v>18</v>
      </c>
      <c r="P5" s="156" t="s">
        <v>19</v>
      </c>
      <c r="Q5" s="156" t="s">
        <v>137</v>
      </c>
      <c r="R5" s="156" t="s">
        <v>19</v>
      </c>
      <c r="S5" s="157"/>
      <c r="T5" s="158" t="s">
        <v>138</v>
      </c>
      <c r="U5" s="158" t="s">
        <v>139</v>
      </c>
      <c r="V5" s="158" t="s">
        <v>23</v>
      </c>
      <c r="W5" s="158" t="s">
        <v>24</v>
      </c>
      <c r="X5" s="158" t="s">
        <v>25</v>
      </c>
      <c r="Y5" s="159" t="s">
        <v>26</v>
      </c>
    </row>
    <row r="6" spans="1:26">
      <c r="C6" s="49"/>
      <c r="D6" s="49"/>
      <c r="E6" s="49"/>
      <c r="F6" s="49"/>
      <c r="G6" s="49"/>
      <c r="H6" s="50"/>
      <c r="I6" s="49"/>
      <c r="J6" s="49"/>
      <c r="K6" s="49"/>
      <c r="L6" s="49"/>
      <c r="M6" s="46"/>
      <c r="N6" s="44"/>
      <c r="O6" s="44"/>
      <c r="P6" s="44"/>
      <c r="Q6" s="265"/>
      <c r="R6" s="44"/>
      <c r="S6" s="46"/>
      <c r="T6" s="191"/>
      <c r="U6" s="166"/>
      <c r="V6" s="166"/>
      <c r="W6" s="166"/>
      <c r="X6" s="166"/>
      <c r="Y6" s="166"/>
    </row>
    <row r="7" spans="1:26">
      <c r="A7" s="235">
        <f>'CREATION CARE'!A20+1</f>
        <v>175</v>
      </c>
      <c r="B7" s="409" t="s">
        <v>417</v>
      </c>
      <c r="C7" s="49"/>
      <c r="D7" s="49"/>
      <c r="E7" s="49"/>
      <c r="F7" s="49"/>
      <c r="G7" s="49"/>
      <c r="H7" s="50"/>
      <c r="I7" s="49"/>
      <c r="J7" s="49"/>
      <c r="K7" s="49"/>
      <c r="L7" s="49"/>
      <c r="M7" s="46"/>
      <c r="N7" s="44"/>
      <c r="O7" s="44"/>
      <c r="P7" s="44"/>
      <c r="Q7" s="265"/>
      <c r="R7" s="44"/>
      <c r="S7" s="46"/>
      <c r="T7" s="191"/>
      <c r="U7" s="166"/>
      <c r="V7" s="166"/>
      <c r="W7" s="166"/>
      <c r="X7" s="166"/>
      <c r="Y7" s="166"/>
    </row>
    <row r="8" spans="1:26" s="240" customFormat="1" ht="24.75" customHeight="1">
      <c r="A8" s="193">
        <f>A7+1</f>
        <v>176</v>
      </c>
      <c r="B8" s="240" t="s">
        <v>418</v>
      </c>
      <c r="C8" s="49">
        <v>153319</v>
      </c>
      <c r="D8" s="49">
        <v>390000</v>
      </c>
      <c r="E8" s="55">
        <v>98438</v>
      </c>
      <c r="F8" s="49">
        <v>130000</v>
      </c>
      <c r="G8" s="49">
        <v>109000</v>
      </c>
      <c r="H8" s="410" t="s">
        <v>419</v>
      </c>
      <c r="I8" s="49"/>
      <c r="J8" s="49">
        <v>130000</v>
      </c>
      <c r="K8" s="49">
        <f>J8</f>
        <v>130000</v>
      </c>
      <c r="L8" s="49">
        <f t="shared" ref="L8:L15" si="0">E8+G8+K8</f>
        <v>337438</v>
      </c>
      <c r="M8" s="46"/>
      <c r="N8" s="44"/>
      <c r="O8" s="44">
        <v>130000</v>
      </c>
      <c r="P8" s="44">
        <f t="shared" ref="P8:P57" si="1">N8+O8</f>
        <v>130000</v>
      </c>
      <c r="Q8" s="59" t="s">
        <v>420</v>
      </c>
      <c r="R8" s="44">
        <f>P8</f>
        <v>130000</v>
      </c>
      <c r="S8" s="46"/>
      <c r="T8" s="238">
        <v>130000</v>
      </c>
      <c r="U8" s="238">
        <v>0</v>
      </c>
      <c r="V8" s="238">
        <v>130000</v>
      </c>
      <c r="W8" s="53">
        <f>U8+V8</f>
        <v>130000</v>
      </c>
      <c r="X8" s="53">
        <f>T8+W8</f>
        <v>260000</v>
      </c>
      <c r="Y8" s="166" t="s">
        <v>420</v>
      </c>
    </row>
    <row r="9" spans="1:26" s="240" customFormat="1" ht="14.45" customHeight="1">
      <c r="A9" s="193">
        <f t="shared" ref="A9:A58" si="2">A8+1</f>
        <v>177</v>
      </c>
      <c r="B9" s="240" t="s">
        <v>421</v>
      </c>
      <c r="C9" s="49">
        <f>883730-717000+717000</f>
        <v>883730</v>
      </c>
      <c r="D9" s="49">
        <v>500000</v>
      </c>
      <c r="E9" s="55">
        <v>108366</v>
      </c>
      <c r="F9" s="49">
        <v>125000</v>
      </c>
      <c r="G9" s="49">
        <v>100000</v>
      </c>
      <c r="H9" s="50"/>
      <c r="I9" s="49"/>
      <c r="J9" s="49">
        <v>125000</v>
      </c>
      <c r="K9" s="49">
        <f t="shared" ref="K9:K17" si="3">J9</f>
        <v>125000</v>
      </c>
      <c r="L9" s="49">
        <f t="shared" si="0"/>
        <v>333366</v>
      </c>
      <c r="M9" s="46"/>
      <c r="N9" s="44"/>
      <c r="O9" s="44">
        <v>125000</v>
      </c>
      <c r="P9" s="44">
        <f t="shared" si="1"/>
        <v>125000</v>
      </c>
      <c r="Q9" s="265"/>
      <c r="R9" s="44">
        <f t="shared" ref="R9:R58" si="4">P9</f>
        <v>125000</v>
      </c>
      <c r="S9" s="46"/>
      <c r="T9" s="238">
        <v>125000</v>
      </c>
      <c r="U9" s="238">
        <v>0</v>
      </c>
      <c r="V9" s="238">
        <v>125000</v>
      </c>
      <c r="W9" s="53">
        <f t="shared" ref="W9:W37" si="5">U9+V9</f>
        <v>125000</v>
      </c>
      <c r="X9" s="53">
        <f t="shared" ref="X9:X47" si="6">T9+W9</f>
        <v>250000</v>
      </c>
      <c r="Y9" s="166"/>
    </row>
    <row r="10" spans="1:26">
      <c r="A10" s="193">
        <f t="shared" si="2"/>
        <v>178</v>
      </c>
      <c r="B10" s="407" t="s">
        <v>422</v>
      </c>
      <c r="C10" s="49">
        <v>0</v>
      </c>
      <c r="D10" s="49"/>
      <c r="E10" s="55">
        <v>660</v>
      </c>
      <c r="F10" s="49"/>
      <c r="G10" s="49"/>
      <c r="H10" s="50"/>
      <c r="I10" s="49"/>
      <c r="J10" s="49"/>
      <c r="K10" s="49">
        <f t="shared" si="3"/>
        <v>0</v>
      </c>
      <c r="L10" s="49">
        <f t="shared" si="0"/>
        <v>660</v>
      </c>
      <c r="M10" s="46"/>
      <c r="N10" s="44"/>
      <c r="O10" s="44"/>
      <c r="P10" s="44">
        <f t="shared" si="1"/>
        <v>0</v>
      </c>
      <c r="Q10" s="265"/>
      <c r="R10" s="44">
        <f t="shared" si="4"/>
        <v>0</v>
      </c>
      <c r="S10" s="46"/>
      <c r="T10" s="411"/>
      <c r="U10" s="411"/>
      <c r="V10" s="411"/>
      <c r="W10" s="53">
        <f t="shared" si="5"/>
        <v>0</v>
      </c>
      <c r="X10" s="53">
        <f t="shared" si="6"/>
        <v>0</v>
      </c>
      <c r="Y10" s="166"/>
    </row>
    <row r="11" spans="1:26" ht="46.5" customHeight="1">
      <c r="A11" s="193">
        <f t="shared" si="2"/>
        <v>179</v>
      </c>
      <c r="B11" s="407" t="s">
        <v>423</v>
      </c>
      <c r="C11" s="49">
        <v>162000</v>
      </c>
      <c r="D11" s="49">
        <v>190000</v>
      </c>
      <c r="E11" s="55">
        <v>5000</v>
      </c>
      <c r="F11" s="49">
        <v>66000</v>
      </c>
      <c r="G11" s="49">
        <f>F11</f>
        <v>66000</v>
      </c>
      <c r="H11" s="50"/>
      <c r="I11" s="49"/>
      <c r="J11" s="49">
        <v>67000</v>
      </c>
      <c r="K11" s="49">
        <f t="shared" si="3"/>
        <v>67000</v>
      </c>
      <c r="L11" s="49">
        <f t="shared" si="0"/>
        <v>138000</v>
      </c>
      <c r="M11" s="46"/>
      <c r="N11" s="44"/>
      <c r="O11" s="44">
        <v>66000</v>
      </c>
      <c r="P11" s="44">
        <f t="shared" si="1"/>
        <v>66000</v>
      </c>
      <c r="Q11" s="265" t="s">
        <v>424</v>
      </c>
      <c r="R11" s="44">
        <f t="shared" si="4"/>
        <v>66000</v>
      </c>
      <c r="S11" s="46"/>
      <c r="T11" s="411">
        <v>70000</v>
      </c>
      <c r="U11" s="411">
        <v>0</v>
      </c>
      <c r="V11" s="411">
        <v>70000</v>
      </c>
      <c r="W11" s="53">
        <f t="shared" si="5"/>
        <v>70000</v>
      </c>
      <c r="X11" s="53">
        <f t="shared" si="6"/>
        <v>140000</v>
      </c>
      <c r="Y11" s="166"/>
    </row>
    <row r="12" spans="1:26" ht="16.5" customHeight="1">
      <c r="A12" s="193">
        <f t="shared" si="2"/>
        <v>180</v>
      </c>
      <c r="B12" s="407" t="s">
        <v>425</v>
      </c>
      <c r="C12" s="49">
        <v>0</v>
      </c>
      <c r="D12" s="49">
        <v>800000</v>
      </c>
      <c r="E12" s="55">
        <v>266667</v>
      </c>
      <c r="F12" s="49">
        <v>266667</v>
      </c>
      <c r="G12" s="49">
        <f>F12</f>
        <v>266667</v>
      </c>
      <c r="H12" s="50"/>
      <c r="I12" s="49"/>
      <c r="J12" s="49">
        <v>266667</v>
      </c>
      <c r="K12" s="49">
        <f t="shared" si="3"/>
        <v>266667</v>
      </c>
      <c r="L12" s="49">
        <f t="shared" si="0"/>
        <v>800001</v>
      </c>
      <c r="M12" s="46"/>
      <c r="N12" s="44"/>
      <c r="O12" s="44">
        <v>266667</v>
      </c>
      <c r="P12" s="44">
        <f t="shared" si="1"/>
        <v>266667</v>
      </c>
      <c r="Q12" s="265"/>
      <c r="R12" s="44">
        <f t="shared" si="4"/>
        <v>266667</v>
      </c>
      <c r="S12" s="46"/>
      <c r="T12" s="411">
        <v>266667</v>
      </c>
      <c r="U12" s="411">
        <v>0</v>
      </c>
      <c r="V12" s="411">
        <v>266667</v>
      </c>
      <c r="W12" s="53">
        <f t="shared" si="5"/>
        <v>266667</v>
      </c>
      <c r="X12" s="53">
        <f t="shared" si="6"/>
        <v>533334</v>
      </c>
      <c r="Y12" s="166"/>
    </row>
    <row r="13" spans="1:26">
      <c r="A13" s="193">
        <f t="shared" si="2"/>
        <v>181</v>
      </c>
      <c r="B13" s="407" t="s">
        <v>426</v>
      </c>
      <c r="C13" s="49">
        <v>26972</v>
      </c>
      <c r="D13" s="49">
        <v>45000</v>
      </c>
      <c r="E13" s="55">
        <v>18127</v>
      </c>
      <c r="F13" s="49">
        <v>14000</v>
      </c>
      <c r="G13" s="49">
        <v>8000</v>
      </c>
      <c r="H13" s="50"/>
      <c r="I13" s="49">
        <v>5000</v>
      </c>
      <c r="J13" s="49">
        <v>20000</v>
      </c>
      <c r="K13" s="49">
        <f t="shared" si="3"/>
        <v>20000</v>
      </c>
      <c r="L13" s="49">
        <f t="shared" si="0"/>
        <v>46127</v>
      </c>
      <c r="M13" s="46"/>
      <c r="N13" s="44">
        <v>5000</v>
      </c>
      <c r="O13" s="44">
        <v>20000</v>
      </c>
      <c r="P13" s="44">
        <f t="shared" si="1"/>
        <v>25000</v>
      </c>
      <c r="Q13" s="265"/>
      <c r="R13" s="44">
        <f t="shared" si="4"/>
        <v>25000</v>
      </c>
      <c r="S13" s="46"/>
      <c r="T13" s="411">
        <v>25000</v>
      </c>
      <c r="U13" s="411">
        <v>15000</v>
      </c>
      <c r="V13" s="411">
        <v>15000</v>
      </c>
      <c r="W13" s="53">
        <f t="shared" si="5"/>
        <v>30000</v>
      </c>
      <c r="X13" s="53">
        <f t="shared" si="6"/>
        <v>55000</v>
      </c>
      <c r="Y13" s="166"/>
    </row>
    <row r="14" spans="1:26">
      <c r="A14" s="193">
        <f t="shared" si="2"/>
        <v>182</v>
      </c>
      <c r="B14" s="407" t="s">
        <v>427</v>
      </c>
      <c r="C14" s="49">
        <v>11400</v>
      </c>
      <c r="D14" s="49">
        <v>54000</v>
      </c>
      <c r="E14" s="55">
        <v>35608</v>
      </c>
      <c r="F14" s="49">
        <v>18000</v>
      </c>
      <c r="G14" s="49">
        <v>12000</v>
      </c>
      <c r="H14" s="50"/>
      <c r="I14" s="49"/>
      <c r="J14" s="49">
        <v>18000</v>
      </c>
      <c r="K14" s="49">
        <f t="shared" si="3"/>
        <v>18000</v>
      </c>
      <c r="L14" s="49">
        <f t="shared" si="0"/>
        <v>65608</v>
      </c>
      <c r="M14" s="46"/>
      <c r="N14" s="44"/>
      <c r="O14" s="44">
        <v>18000</v>
      </c>
      <c r="P14" s="44">
        <f t="shared" si="1"/>
        <v>18000</v>
      </c>
      <c r="Q14" s="265"/>
      <c r="R14" s="44">
        <f t="shared" si="4"/>
        <v>18000</v>
      </c>
      <c r="S14" s="46"/>
      <c r="T14" s="411">
        <v>18000</v>
      </c>
      <c r="U14" s="411">
        <v>0</v>
      </c>
      <c r="V14" s="411">
        <v>18000</v>
      </c>
      <c r="W14" s="53">
        <f t="shared" si="5"/>
        <v>18000</v>
      </c>
      <c r="X14" s="53">
        <f t="shared" si="6"/>
        <v>36000</v>
      </c>
      <c r="Y14" s="166"/>
    </row>
    <row r="15" spans="1:26" ht="24" customHeight="1">
      <c r="A15" s="193">
        <f t="shared" si="2"/>
        <v>183</v>
      </c>
      <c r="B15" s="407" t="s">
        <v>428</v>
      </c>
      <c r="C15" s="49">
        <v>380000</v>
      </c>
      <c r="D15" s="49">
        <v>710000</v>
      </c>
      <c r="E15" s="55">
        <v>445808</v>
      </c>
      <c r="F15" s="49">
        <v>270000</v>
      </c>
      <c r="G15" s="49">
        <f>F15</f>
        <v>270000</v>
      </c>
      <c r="H15" s="412" t="s">
        <v>429</v>
      </c>
      <c r="I15" s="49">
        <v>20000</v>
      </c>
      <c r="J15" s="49">
        <v>340000</v>
      </c>
      <c r="K15" s="49">
        <f t="shared" si="3"/>
        <v>340000</v>
      </c>
      <c r="L15" s="49">
        <f t="shared" si="0"/>
        <v>1055808</v>
      </c>
      <c r="M15" s="46"/>
      <c r="N15" s="44">
        <v>20000</v>
      </c>
      <c r="O15" s="44">
        <v>400000</v>
      </c>
      <c r="P15" s="44">
        <f t="shared" si="1"/>
        <v>420000</v>
      </c>
      <c r="Q15" s="265" t="s">
        <v>430</v>
      </c>
      <c r="R15" s="44">
        <f t="shared" si="4"/>
        <v>420000</v>
      </c>
      <c r="S15" s="46"/>
      <c r="T15" s="411">
        <v>450000</v>
      </c>
      <c r="U15" s="411">
        <v>30000</v>
      </c>
      <c r="V15" s="411">
        <v>420000</v>
      </c>
      <c r="W15" s="53">
        <f t="shared" si="5"/>
        <v>450000</v>
      </c>
      <c r="X15" s="53">
        <f t="shared" si="6"/>
        <v>900000</v>
      </c>
      <c r="Y15" s="166"/>
    </row>
    <row r="16" spans="1:26">
      <c r="A16" s="193">
        <f t="shared" si="2"/>
        <v>184</v>
      </c>
      <c r="B16" s="407" t="s">
        <v>431</v>
      </c>
      <c r="C16" s="49">
        <v>0</v>
      </c>
      <c r="D16" s="49">
        <v>200000</v>
      </c>
      <c r="E16" s="413"/>
      <c r="F16" s="49">
        <v>0</v>
      </c>
      <c r="G16" s="49">
        <f>F16</f>
        <v>0</v>
      </c>
      <c r="H16" s="50"/>
      <c r="I16" s="49"/>
      <c r="J16" s="49">
        <v>20000</v>
      </c>
      <c r="K16" s="49">
        <f t="shared" si="3"/>
        <v>20000</v>
      </c>
      <c r="L16" s="49"/>
      <c r="M16" s="46"/>
      <c r="N16" s="44"/>
      <c r="O16" s="44">
        <v>0</v>
      </c>
      <c r="P16" s="44">
        <f t="shared" si="1"/>
        <v>0</v>
      </c>
      <c r="Q16" s="265"/>
      <c r="R16" s="44">
        <f t="shared" si="4"/>
        <v>0</v>
      </c>
      <c r="S16" s="46"/>
      <c r="T16" s="411">
        <v>0</v>
      </c>
      <c r="U16" s="411">
        <v>0</v>
      </c>
      <c r="V16" s="411">
        <v>0</v>
      </c>
      <c r="W16" s="53">
        <f t="shared" si="5"/>
        <v>0</v>
      </c>
      <c r="X16" s="53">
        <f t="shared" si="6"/>
        <v>0</v>
      </c>
      <c r="Y16" s="166"/>
    </row>
    <row r="17" spans="1:25">
      <c r="A17" s="193">
        <f t="shared" si="2"/>
        <v>185</v>
      </c>
      <c r="B17" s="407" t="s">
        <v>432</v>
      </c>
      <c r="C17" s="49">
        <v>143441</v>
      </c>
      <c r="D17" s="49">
        <v>200000</v>
      </c>
      <c r="E17" s="55">
        <f>206211+244</f>
        <v>206455</v>
      </c>
      <c r="F17" s="49"/>
      <c r="G17" s="49"/>
      <c r="H17" s="50"/>
      <c r="I17" s="49"/>
      <c r="J17" s="49"/>
      <c r="K17" s="49">
        <f t="shared" si="3"/>
        <v>0</v>
      </c>
      <c r="L17" s="49">
        <f t="shared" ref="L17:L25" si="7">E17+G17+K17</f>
        <v>206455</v>
      </c>
      <c r="M17" s="46"/>
      <c r="N17" s="44"/>
      <c r="O17" s="44">
        <v>60000</v>
      </c>
      <c r="P17" s="44">
        <f t="shared" si="1"/>
        <v>60000</v>
      </c>
      <c r="Q17" s="265" t="s">
        <v>433</v>
      </c>
      <c r="R17" s="44">
        <f t="shared" si="4"/>
        <v>60000</v>
      </c>
      <c r="S17" s="46"/>
      <c r="T17" s="411">
        <v>60000</v>
      </c>
      <c r="U17" s="411">
        <v>20000</v>
      </c>
      <c r="V17" s="411">
        <v>50000</v>
      </c>
      <c r="W17" s="53">
        <f t="shared" si="5"/>
        <v>70000</v>
      </c>
      <c r="X17" s="53">
        <f t="shared" si="6"/>
        <v>130000</v>
      </c>
      <c r="Y17" s="166"/>
    </row>
    <row r="18" spans="1:25">
      <c r="A18" s="193" t="s">
        <v>434</v>
      </c>
      <c r="B18" s="407" t="s">
        <v>179</v>
      </c>
      <c r="C18" s="49"/>
      <c r="D18" s="49"/>
      <c r="E18" s="55"/>
      <c r="F18" s="49"/>
      <c r="G18" s="49"/>
      <c r="H18" s="50"/>
      <c r="I18" s="49"/>
      <c r="J18" s="49"/>
      <c r="K18" s="49">
        <f>I20</f>
        <v>25000</v>
      </c>
      <c r="L18" s="49">
        <f t="shared" si="7"/>
        <v>25000</v>
      </c>
      <c r="M18" s="46"/>
      <c r="N18" s="44"/>
      <c r="O18" s="44"/>
      <c r="P18" s="44">
        <f t="shared" si="1"/>
        <v>0</v>
      </c>
      <c r="Q18" s="265"/>
      <c r="R18" s="44">
        <f t="shared" si="4"/>
        <v>0</v>
      </c>
      <c r="S18" s="46"/>
      <c r="T18" s="411"/>
      <c r="U18" s="411"/>
      <c r="V18" s="411"/>
      <c r="W18" s="53">
        <f t="shared" si="5"/>
        <v>0</v>
      </c>
      <c r="X18" s="53">
        <f t="shared" si="6"/>
        <v>0</v>
      </c>
      <c r="Y18" s="166"/>
    </row>
    <row r="19" spans="1:25" ht="22.5" customHeight="1">
      <c r="A19" s="193">
        <f>A17+1</f>
        <v>186</v>
      </c>
      <c r="B19" s="407" t="s">
        <v>181</v>
      </c>
      <c r="C19" s="49">
        <v>3217406</v>
      </c>
      <c r="D19" s="195">
        <v>5396895.6167239277</v>
      </c>
      <c r="E19" s="195">
        <v>1812996</v>
      </c>
      <c r="F19" s="195">
        <f>'[3]Salary Summary 19 for 2019-2021'!L33</f>
        <v>1816343.6214884073</v>
      </c>
      <c r="G19" s="195">
        <f>F19</f>
        <v>1816343.6214884073</v>
      </c>
      <c r="J19" s="195">
        <v>2012401</v>
      </c>
      <c r="K19" s="195">
        <f>J19</f>
        <v>2012401</v>
      </c>
      <c r="L19" s="49">
        <f t="shared" si="7"/>
        <v>5641740.6214884073</v>
      </c>
      <c r="M19" s="46"/>
      <c r="N19" s="196"/>
      <c r="O19" s="44">
        <f>'Salary Summary 21 for 2022-2024'!M34</f>
        <v>1991491.9793264668</v>
      </c>
      <c r="P19" s="44">
        <f t="shared" si="1"/>
        <v>1991491.9793264668</v>
      </c>
      <c r="Q19" s="243" t="s">
        <v>435</v>
      </c>
      <c r="R19" s="44">
        <f t="shared" si="4"/>
        <v>1991491.9793264668</v>
      </c>
      <c r="S19" s="46"/>
      <c r="T19" s="53">
        <f>'[5]Salary Summary 21 for 2022-2024'!P33</f>
        <v>2158219.8113392559</v>
      </c>
      <c r="U19" s="411"/>
      <c r="V19" s="53">
        <f>'[5]Salary Summary 21 for 2022-2024'!T33</f>
        <v>2226566.1345171039</v>
      </c>
      <c r="W19" s="53">
        <f t="shared" si="5"/>
        <v>2226566.1345171039</v>
      </c>
      <c r="X19" s="53">
        <f t="shared" si="6"/>
        <v>4384785.9458563598</v>
      </c>
      <c r="Y19" s="166"/>
    </row>
    <row r="20" spans="1:25" s="421" customFormat="1">
      <c r="A20" s="252">
        <f>A19+1</f>
        <v>187</v>
      </c>
      <c r="B20" s="414" t="s">
        <v>436</v>
      </c>
      <c r="C20" s="415">
        <f>SUM(C8:C19)</f>
        <v>4978268</v>
      </c>
      <c r="D20" s="415">
        <f t="shared" ref="D20:K20" si="8">SUM(D8:D19)</f>
        <v>8485895.6167239286</v>
      </c>
      <c r="E20" s="415">
        <f t="shared" si="8"/>
        <v>2998125</v>
      </c>
      <c r="F20" s="415">
        <f t="shared" si="8"/>
        <v>2706010.6214884073</v>
      </c>
      <c r="G20" s="415">
        <f t="shared" si="8"/>
        <v>2648010.6214884073</v>
      </c>
      <c r="H20" s="415">
        <f t="shared" si="8"/>
        <v>0</v>
      </c>
      <c r="I20" s="415">
        <f t="shared" si="8"/>
        <v>25000</v>
      </c>
      <c r="J20" s="415">
        <f t="shared" si="8"/>
        <v>2999068</v>
      </c>
      <c r="K20" s="415">
        <f t="shared" si="8"/>
        <v>3024068</v>
      </c>
      <c r="L20" s="415">
        <f t="shared" si="7"/>
        <v>8670203.6214884073</v>
      </c>
      <c r="M20" s="416"/>
      <c r="N20" s="417">
        <f t="shared" ref="N20:P20" si="9">SUM(N8:N19)</f>
        <v>25000</v>
      </c>
      <c r="O20" s="417">
        <f t="shared" si="9"/>
        <v>3077158.979326467</v>
      </c>
      <c r="P20" s="417">
        <f t="shared" si="9"/>
        <v>3102158.979326467</v>
      </c>
      <c r="Q20" s="418"/>
      <c r="R20" s="417">
        <f t="shared" si="4"/>
        <v>3102158.979326467</v>
      </c>
      <c r="S20" s="416"/>
      <c r="T20" s="419">
        <f>SUM(T8:T19)</f>
        <v>3302886.8113392559</v>
      </c>
      <c r="U20" s="419">
        <f t="shared" ref="U20:X20" si="10">SUM(U8:U19)</f>
        <v>65000</v>
      </c>
      <c r="V20" s="419">
        <f t="shared" si="10"/>
        <v>3321233.1345171039</v>
      </c>
      <c r="W20" s="419">
        <f t="shared" si="10"/>
        <v>3386233.1345171039</v>
      </c>
      <c r="X20" s="419">
        <f t="shared" si="10"/>
        <v>6689119.9458563598</v>
      </c>
      <c r="Y20" s="420"/>
    </row>
    <row r="21" spans="1:25">
      <c r="A21" s="193">
        <f t="shared" si="2"/>
        <v>188</v>
      </c>
      <c r="C21" s="49"/>
      <c r="D21" s="195">
        <v>0</v>
      </c>
      <c r="L21" s="49">
        <f t="shared" si="7"/>
        <v>0</v>
      </c>
      <c r="N21" s="196"/>
      <c r="O21" s="196"/>
      <c r="P21" s="196">
        <f t="shared" si="1"/>
        <v>0</v>
      </c>
      <c r="Q21" s="265"/>
      <c r="R21" s="196">
        <f t="shared" si="4"/>
        <v>0</v>
      </c>
      <c r="T21" s="191"/>
      <c r="U21" s="166"/>
      <c r="V21" s="166"/>
      <c r="W21" s="53">
        <f t="shared" si="5"/>
        <v>0</v>
      </c>
      <c r="X21" s="53">
        <f t="shared" si="6"/>
        <v>0</v>
      </c>
      <c r="Y21" s="166"/>
    </row>
    <row r="22" spans="1:25" ht="27.75" customHeight="1">
      <c r="A22" s="193">
        <f>A21+1</f>
        <v>189</v>
      </c>
      <c r="B22" s="409" t="s">
        <v>437</v>
      </c>
      <c r="C22" s="49">
        <v>175000</v>
      </c>
      <c r="D22" s="49">
        <v>375000</v>
      </c>
      <c r="E22" s="49">
        <f>287842-E23-E24</f>
        <v>183392</v>
      </c>
      <c r="F22" s="49">
        <v>155000</v>
      </c>
      <c r="G22" s="49">
        <v>120000</v>
      </c>
      <c r="H22" s="50" t="s">
        <v>438</v>
      </c>
      <c r="I22" s="49"/>
      <c r="J22" s="49">
        <v>77000</v>
      </c>
      <c r="K22" s="49">
        <f>J22</f>
        <v>77000</v>
      </c>
      <c r="L22" s="49">
        <f t="shared" si="7"/>
        <v>380392</v>
      </c>
      <c r="M22" s="46"/>
      <c r="N22" s="44"/>
      <c r="O22" s="44">
        <v>105000</v>
      </c>
      <c r="P22" s="44">
        <f t="shared" si="1"/>
        <v>105000</v>
      </c>
      <c r="Q22" s="265" t="s">
        <v>439</v>
      </c>
      <c r="R22" s="44">
        <f t="shared" si="4"/>
        <v>105000</v>
      </c>
      <c r="S22" s="46"/>
      <c r="T22" s="53">
        <v>180000</v>
      </c>
      <c r="U22" s="53">
        <v>30000</v>
      </c>
      <c r="V22" s="53">
        <v>105000</v>
      </c>
      <c r="W22" s="53">
        <f t="shared" si="5"/>
        <v>135000</v>
      </c>
      <c r="X22" s="53">
        <f t="shared" si="6"/>
        <v>315000</v>
      </c>
      <c r="Y22" s="166"/>
    </row>
    <row r="23" spans="1:25">
      <c r="A23" s="193">
        <f t="shared" si="2"/>
        <v>190</v>
      </c>
      <c r="B23" s="407" t="s">
        <v>440</v>
      </c>
      <c r="C23" s="49">
        <v>12000</v>
      </c>
      <c r="D23" s="49">
        <v>12000</v>
      </c>
      <c r="E23" s="49">
        <v>21117</v>
      </c>
      <c r="F23" s="49"/>
      <c r="G23" s="49"/>
      <c r="H23" s="50"/>
      <c r="I23" s="49"/>
      <c r="J23" s="49"/>
      <c r="K23" s="49"/>
      <c r="L23" s="49">
        <f t="shared" si="7"/>
        <v>21117</v>
      </c>
      <c r="M23" s="46"/>
      <c r="N23" s="44"/>
      <c r="O23" s="44">
        <v>20000</v>
      </c>
      <c r="P23" s="44">
        <f t="shared" si="1"/>
        <v>20000</v>
      </c>
      <c r="Q23" s="265"/>
      <c r="R23" s="44">
        <f t="shared" si="4"/>
        <v>20000</v>
      </c>
      <c r="S23" s="46"/>
      <c r="T23" s="53">
        <v>20000</v>
      </c>
      <c r="U23" s="53">
        <v>0</v>
      </c>
      <c r="V23" s="53">
        <v>20000</v>
      </c>
      <c r="W23" s="53">
        <f t="shared" si="5"/>
        <v>20000</v>
      </c>
      <c r="X23" s="53">
        <f t="shared" si="6"/>
        <v>40000</v>
      </c>
      <c r="Y23" s="166"/>
    </row>
    <row r="24" spans="1:25" ht="46.5" customHeight="1">
      <c r="A24" s="193">
        <f t="shared" si="2"/>
        <v>191</v>
      </c>
      <c r="B24" s="407" t="s">
        <v>441</v>
      </c>
      <c r="C24" s="49">
        <f>180000+70000</f>
        <v>250000</v>
      </c>
      <c r="D24" s="49">
        <v>250000</v>
      </c>
      <c r="E24" s="49">
        <v>83333</v>
      </c>
      <c r="F24" s="49">
        <v>83333</v>
      </c>
      <c r="G24" s="49">
        <v>83333</v>
      </c>
      <c r="H24" s="50"/>
      <c r="I24" s="49"/>
      <c r="J24" s="49">
        <v>83334</v>
      </c>
      <c r="K24" s="49">
        <f>J24</f>
        <v>83334</v>
      </c>
      <c r="L24" s="49">
        <f t="shared" si="7"/>
        <v>250000</v>
      </c>
      <c r="M24" s="46"/>
      <c r="N24" s="44"/>
      <c r="O24" s="44">
        <v>83334</v>
      </c>
      <c r="P24" s="44">
        <f t="shared" si="1"/>
        <v>83334</v>
      </c>
      <c r="Q24" s="265"/>
      <c r="R24" s="44">
        <f t="shared" si="4"/>
        <v>83334</v>
      </c>
      <c r="S24" s="46"/>
      <c r="T24" s="53">
        <v>83334</v>
      </c>
      <c r="U24" s="53">
        <v>0</v>
      </c>
      <c r="V24" s="53">
        <v>83334</v>
      </c>
      <c r="W24" s="53">
        <f t="shared" si="5"/>
        <v>83334</v>
      </c>
      <c r="X24" s="53">
        <f t="shared" si="6"/>
        <v>166668</v>
      </c>
      <c r="Y24" s="166"/>
    </row>
    <row r="25" spans="1:25" s="421" customFormat="1">
      <c r="A25" s="252">
        <f t="shared" si="2"/>
        <v>192</v>
      </c>
      <c r="B25" s="414" t="s">
        <v>442</v>
      </c>
      <c r="C25" s="114">
        <f>SUM(C22:C24)</f>
        <v>437000</v>
      </c>
      <c r="D25" s="114">
        <f>SUM(D21:D24)</f>
        <v>637000</v>
      </c>
      <c r="E25" s="114">
        <f t="shared" ref="E25:H25" si="11">SUM(E21:E24)</f>
        <v>287842</v>
      </c>
      <c r="F25" s="114">
        <f t="shared" si="11"/>
        <v>238333</v>
      </c>
      <c r="G25" s="114">
        <f t="shared" si="11"/>
        <v>203333</v>
      </c>
      <c r="H25" s="114">
        <f t="shared" si="11"/>
        <v>0</v>
      </c>
      <c r="I25" s="114">
        <f t="shared" ref="I25:K25" si="12">SUM(I22:I24)</f>
        <v>0</v>
      </c>
      <c r="J25" s="114">
        <f t="shared" si="12"/>
        <v>160334</v>
      </c>
      <c r="K25" s="114">
        <f t="shared" si="12"/>
        <v>160334</v>
      </c>
      <c r="L25" s="114">
        <f t="shared" si="7"/>
        <v>651509</v>
      </c>
      <c r="M25" s="116"/>
      <c r="N25" s="117">
        <f t="shared" ref="N25:P25" si="13">SUM(N22:N24)</f>
        <v>0</v>
      </c>
      <c r="O25" s="117">
        <f t="shared" si="13"/>
        <v>208334</v>
      </c>
      <c r="P25" s="117">
        <f t="shared" si="13"/>
        <v>208334</v>
      </c>
      <c r="Q25" s="422"/>
      <c r="R25" s="117">
        <f t="shared" si="4"/>
        <v>208334</v>
      </c>
      <c r="S25" s="116"/>
      <c r="T25" s="419">
        <f>SUM(T23:T24)</f>
        <v>103334</v>
      </c>
      <c r="U25" s="419">
        <f t="shared" ref="U25:X25" si="14">SUM(U23:U24)</f>
        <v>0</v>
      </c>
      <c r="V25" s="419">
        <f t="shared" si="14"/>
        <v>103334</v>
      </c>
      <c r="W25" s="419">
        <f t="shared" si="14"/>
        <v>103334</v>
      </c>
      <c r="X25" s="419">
        <f t="shared" si="14"/>
        <v>206668</v>
      </c>
      <c r="Y25" s="420"/>
    </row>
    <row r="26" spans="1:25">
      <c r="A26" s="193">
        <f t="shared" si="2"/>
        <v>193</v>
      </c>
      <c r="C26" s="49"/>
      <c r="D26" s="49"/>
      <c r="E26" s="49"/>
      <c r="F26" s="49"/>
      <c r="G26" s="49"/>
      <c r="H26" s="50"/>
      <c r="I26" s="49"/>
      <c r="J26" s="49"/>
      <c r="K26" s="49"/>
      <c r="L26" s="55">
        <f>E26+G26+K26</f>
        <v>0</v>
      </c>
      <c r="M26" s="46"/>
      <c r="N26" s="44"/>
      <c r="O26" s="44"/>
      <c r="P26" s="44">
        <f t="shared" si="1"/>
        <v>0</v>
      </c>
      <c r="Q26" s="265"/>
      <c r="R26" s="44">
        <f t="shared" si="4"/>
        <v>0</v>
      </c>
      <c r="S26" s="46"/>
      <c r="T26" s="191"/>
      <c r="U26" s="166"/>
      <c r="V26" s="166"/>
      <c r="W26" s="53">
        <f t="shared" si="5"/>
        <v>0</v>
      </c>
      <c r="X26" s="53">
        <f t="shared" si="6"/>
        <v>0</v>
      </c>
      <c r="Y26" s="166"/>
    </row>
    <row r="27" spans="1:25" s="345" customFormat="1">
      <c r="A27" s="193">
        <f t="shared" si="2"/>
        <v>194</v>
      </c>
      <c r="B27" s="236" t="s">
        <v>443</v>
      </c>
      <c r="C27" s="49"/>
      <c r="D27" s="49"/>
      <c r="E27" s="49"/>
      <c r="F27" s="49"/>
      <c r="G27" s="49"/>
      <c r="H27" s="50"/>
      <c r="I27" s="49"/>
      <c r="J27" s="49"/>
      <c r="K27" s="49"/>
      <c r="L27" s="55">
        <f>E27+G27+K27</f>
        <v>0</v>
      </c>
      <c r="M27" s="46"/>
      <c r="N27" s="44"/>
      <c r="O27" s="44"/>
      <c r="P27" s="44">
        <f t="shared" si="1"/>
        <v>0</v>
      </c>
      <c r="Q27" s="265"/>
      <c r="R27" s="44">
        <f t="shared" si="4"/>
        <v>0</v>
      </c>
      <c r="S27" s="46"/>
      <c r="T27" s="191"/>
      <c r="U27" s="166"/>
      <c r="V27" s="166"/>
      <c r="W27" s="53">
        <f t="shared" si="5"/>
        <v>0</v>
      </c>
      <c r="X27" s="53">
        <f t="shared" si="6"/>
        <v>0</v>
      </c>
      <c r="Y27" s="166"/>
    </row>
    <row r="28" spans="1:25" s="345" customFormat="1" ht="63" customHeight="1">
      <c r="A28" s="193" t="s">
        <v>444</v>
      </c>
      <c r="B28" s="240" t="s">
        <v>445</v>
      </c>
      <c r="C28" s="195">
        <v>221960</v>
      </c>
      <c r="D28" s="195">
        <v>491000</v>
      </c>
      <c r="E28" s="55">
        <v>116680</v>
      </c>
      <c r="F28" s="55">
        <v>163667</v>
      </c>
      <c r="G28" s="55">
        <v>70000</v>
      </c>
      <c r="H28" s="56"/>
      <c r="I28" s="55"/>
      <c r="J28" s="55">
        <v>100000</v>
      </c>
      <c r="K28" s="55">
        <f>J28</f>
        <v>100000</v>
      </c>
      <c r="L28" s="55">
        <f t="shared" ref="L28:L34" si="15">E28+G28+K28</f>
        <v>286680</v>
      </c>
      <c r="M28" s="331"/>
      <c r="N28" s="338"/>
      <c r="O28" s="338">
        <v>100000</v>
      </c>
      <c r="P28" s="338">
        <f t="shared" si="1"/>
        <v>100000</v>
      </c>
      <c r="Q28" s="250" t="s">
        <v>446</v>
      </c>
      <c r="R28" s="338">
        <f t="shared" si="4"/>
        <v>100000</v>
      </c>
      <c r="S28" s="331"/>
      <c r="T28" s="191">
        <v>200000</v>
      </c>
      <c r="U28" s="166"/>
      <c r="V28" s="53">
        <v>200000</v>
      </c>
      <c r="W28" s="53">
        <f t="shared" si="5"/>
        <v>200000</v>
      </c>
      <c r="X28" s="53">
        <f t="shared" si="6"/>
        <v>400000</v>
      </c>
      <c r="Y28" s="109" t="s">
        <v>447</v>
      </c>
    </row>
    <row r="29" spans="1:25" s="345" customFormat="1">
      <c r="A29" s="423" t="s">
        <v>448</v>
      </c>
      <c r="B29" s="424" t="s">
        <v>449</v>
      </c>
      <c r="C29" s="162"/>
      <c r="D29" s="162">
        <v>0</v>
      </c>
      <c r="E29" s="69">
        <v>0</v>
      </c>
      <c r="F29" s="69">
        <v>125000</v>
      </c>
      <c r="G29" s="69">
        <v>125000</v>
      </c>
      <c r="H29" s="211"/>
      <c r="I29" s="162">
        <v>0</v>
      </c>
      <c r="J29" s="162"/>
      <c r="K29" s="162">
        <f>J29</f>
        <v>0</v>
      </c>
      <c r="L29" s="55">
        <f t="shared" si="15"/>
        <v>125000</v>
      </c>
      <c r="M29" s="331"/>
      <c r="N29" s="165">
        <v>0</v>
      </c>
      <c r="O29" s="338">
        <v>125000</v>
      </c>
      <c r="P29" s="338">
        <f t="shared" si="1"/>
        <v>125000</v>
      </c>
      <c r="Q29" s="250"/>
      <c r="R29" s="338">
        <f t="shared" si="4"/>
        <v>125000</v>
      </c>
      <c r="S29" s="331"/>
      <c r="T29" s="191">
        <v>25000</v>
      </c>
      <c r="U29" s="166"/>
      <c r="V29" s="53">
        <v>25000</v>
      </c>
      <c r="W29" s="53">
        <f t="shared" si="5"/>
        <v>25000</v>
      </c>
      <c r="X29" s="53">
        <f t="shared" si="6"/>
        <v>50000</v>
      </c>
      <c r="Y29" s="166"/>
    </row>
    <row r="30" spans="1:25" s="345" customFormat="1">
      <c r="A30" s="193" t="s">
        <v>450</v>
      </c>
      <c r="B30" s="425" t="s">
        <v>451</v>
      </c>
      <c r="C30" s="195"/>
      <c r="D30" s="195"/>
      <c r="E30" s="55"/>
      <c r="F30" s="55"/>
      <c r="G30" s="55"/>
      <c r="H30" s="56"/>
      <c r="I30" s="55">
        <v>5000</v>
      </c>
      <c r="J30" s="55"/>
      <c r="K30" s="55"/>
      <c r="L30" s="55">
        <f t="shared" si="15"/>
        <v>0</v>
      </c>
      <c r="M30" s="331"/>
      <c r="N30" s="338">
        <v>5000</v>
      </c>
      <c r="O30" s="338"/>
      <c r="P30" s="338">
        <f t="shared" si="1"/>
        <v>5000</v>
      </c>
      <c r="Q30" s="250"/>
      <c r="R30" s="338">
        <f t="shared" si="4"/>
        <v>5000</v>
      </c>
      <c r="S30" s="331"/>
      <c r="T30" s="191"/>
      <c r="U30" s="166">
        <v>6000</v>
      </c>
      <c r="V30" s="53"/>
      <c r="W30" s="53">
        <f t="shared" si="5"/>
        <v>6000</v>
      </c>
      <c r="X30" s="53">
        <f t="shared" si="6"/>
        <v>6000</v>
      </c>
      <c r="Y30" s="166"/>
    </row>
    <row r="31" spans="1:25" s="345" customFormat="1">
      <c r="A31" s="193" t="s">
        <v>452</v>
      </c>
      <c r="B31" s="425" t="s">
        <v>179</v>
      </c>
      <c r="C31" s="195"/>
      <c r="D31" s="195"/>
      <c r="E31" s="55"/>
      <c r="F31" s="55"/>
      <c r="G31" s="55"/>
      <c r="H31" s="56"/>
      <c r="I31" s="55"/>
      <c r="J31" s="55"/>
      <c r="K31" s="55">
        <v>5000</v>
      </c>
      <c r="L31" s="55">
        <f t="shared" si="15"/>
        <v>5000</v>
      </c>
      <c r="M31" s="331"/>
      <c r="N31" s="338"/>
      <c r="O31" s="338"/>
      <c r="P31" s="338">
        <f t="shared" si="1"/>
        <v>0</v>
      </c>
      <c r="Q31" s="250"/>
      <c r="R31" s="338">
        <f t="shared" si="4"/>
        <v>0</v>
      </c>
      <c r="S31" s="331"/>
      <c r="T31" s="191"/>
      <c r="U31" s="166"/>
      <c r="V31" s="53"/>
      <c r="W31" s="53">
        <f t="shared" si="5"/>
        <v>0</v>
      </c>
      <c r="X31" s="53">
        <f t="shared" si="6"/>
        <v>0</v>
      </c>
      <c r="Y31" s="166"/>
    </row>
    <row r="32" spans="1:25" s="345" customFormat="1">
      <c r="A32" s="193"/>
      <c r="B32" s="425"/>
      <c r="C32" s="195"/>
      <c r="D32" s="195"/>
      <c r="E32" s="55"/>
      <c r="F32" s="55"/>
      <c r="G32" s="55"/>
      <c r="H32" s="56"/>
      <c r="I32" s="55"/>
      <c r="J32" s="55"/>
      <c r="K32" s="55"/>
      <c r="L32" s="55">
        <f t="shared" si="15"/>
        <v>0</v>
      </c>
      <c r="M32" s="331"/>
      <c r="N32" s="338"/>
      <c r="O32" s="338"/>
      <c r="P32" s="338">
        <f t="shared" si="1"/>
        <v>0</v>
      </c>
      <c r="Q32" s="250"/>
      <c r="R32" s="338">
        <f t="shared" si="4"/>
        <v>0</v>
      </c>
      <c r="S32" s="331"/>
      <c r="T32" s="191"/>
      <c r="U32" s="166"/>
      <c r="V32" s="53"/>
      <c r="W32" s="53">
        <f t="shared" si="5"/>
        <v>0</v>
      </c>
      <c r="X32" s="53">
        <f t="shared" si="6"/>
        <v>0</v>
      </c>
      <c r="Y32" s="166"/>
    </row>
    <row r="33" spans="1:26" s="345" customFormat="1" ht="16.350000000000001" customHeight="1">
      <c r="A33" s="193">
        <v>196</v>
      </c>
      <c r="B33" s="407" t="s">
        <v>181</v>
      </c>
      <c r="C33" s="49">
        <v>1288708</v>
      </c>
      <c r="D33" s="195">
        <v>923830.06098007876</v>
      </c>
      <c r="E33" s="195">
        <v>332372</v>
      </c>
      <c r="F33" s="195">
        <f>'[3]Salary Summary 19 for 2019-2021'!L32</f>
        <v>350078.41435521818</v>
      </c>
      <c r="G33" s="195">
        <f>F33</f>
        <v>350078.41435521818</v>
      </c>
      <c r="H33" s="241"/>
      <c r="I33" s="195"/>
      <c r="J33" s="195">
        <f>'[3]Salary Summary 20 for 2019-2021'!P32</f>
        <v>359664.14136975957</v>
      </c>
      <c r="K33" s="195">
        <f>J33</f>
        <v>359664.14136975957</v>
      </c>
      <c r="L33" s="195">
        <f t="shared" si="15"/>
        <v>1042114.5557249777</v>
      </c>
      <c r="M33" s="273"/>
      <c r="N33" s="196"/>
      <c r="O33" s="196">
        <f>'Salary Summary 21 for 2022-2024'!M33</f>
        <v>369787.53785245673</v>
      </c>
      <c r="P33" s="196">
        <f t="shared" si="1"/>
        <v>369787.53785245673</v>
      </c>
      <c r="Q33" s="243"/>
      <c r="R33" s="196">
        <f t="shared" si="4"/>
        <v>369787.53785245673</v>
      </c>
      <c r="S33" s="273"/>
      <c r="T33" s="426">
        <f>'Salary Summary 21 for 2022-2024'!Q33</f>
        <v>382200.39629402646</v>
      </c>
      <c r="U33" s="427"/>
      <c r="V33" s="53">
        <f>'Salary Summary 21 for 2022-2024'!U33</f>
        <v>394431.92516756128</v>
      </c>
      <c r="W33" s="53">
        <f t="shared" si="5"/>
        <v>394431.92516756128</v>
      </c>
      <c r="X33" s="53">
        <f t="shared" si="6"/>
        <v>776632.32146158768</v>
      </c>
      <c r="Y33" s="166"/>
    </row>
    <row r="34" spans="1:26" s="431" customFormat="1" ht="22.5" customHeight="1">
      <c r="A34" s="252">
        <f t="shared" si="2"/>
        <v>197</v>
      </c>
      <c r="B34" s="269" t="s">
        <v>453</v>
      </c>
      <c r="C34" s="415">
        <f>SUM(C27:C33)</f>
        <v>1510668</v>
      </c>
      <c r="D34" s="415">
        <f t="shared" ref="D34:K34" si="16">SUM(D27:D33)</f>
        <v>1414830.0609800788</v>
      </c>
      <c r="E34" s="415">
        <f t="shared" si="16"/>
        <v>449052</v>
      </c>
      <c r="F34" s="415">
        <f t="shared" si="16"/>
        <v>638745.41435521818</v>
      </c>
      <c r="G34" s="415">
        <f t="shared" si="16"/>
        <v>545078.41435521818</v>
      </c>
      <c r="H34" s="415">
        <f t="shared" si="16"/>
        <v>0</v>
      </c>
      <c r="I34" s="415">
        <f t="shared" si="16"/>
        <v>5000</v>
      </c>
      <c r="J34" s="415">
        <f t="shared" si="16"/>
        <v>459664.14136975957</v>
      </c>
      <c r="K34" s="415">
        <f t="shared" si="16"/>
        <v>464664.14136975957</v>
      </c>
      <c r="L34" s="415">
        <f t="shared" si="15"/>
        <v>1458794.5557249777</v>
      </c>
      <c r="M34" s="416"/>
      <c r="N34" s="417">
        <f t="shared" ref="N34:P34" si="17">SUM(N27:N33)</f>
        <v>5000</v>
      </c>
      <c r="O34" s="417">
        <f t="shared" si="17"/>
        <v>594787.53785245679</v>
      </c>
      <c r="P34" s="417">
        <f t="shared" si="17"/>
        <v>599787.53785245679</v>
      </c>
      <c r="Q34" s="428"/>
      <c r="R34" s="417">
        <f t="shared" si="4"/>
        <v>599787.53785245679</v>
      </c>
      <c r="S34" s="416"/>
      <c r="T34" s="429">
        <f>SUM(T28:T33)</f>
        <v>607200.3962940264</v>
      </c>
      <c r="U34" s="429">
        <f t="shared" ref="U34:X34" si="18">SUM(U28:U33)</f>
        <v>6000</v>
      </c>
      <c r="V34" s="429">
        <f t="shared" si="18"/>
        <v>619431.92516756128</v>
      </c>
      <c r="W34" s="429">
        <f t="shared" si="18"/>
        <v>625431.92516756128</v>
      </c>
      <c r="X34" s="429">
        <f t="shared" si="18"/>
        <v>1232632.3214615877</v>
      </c>
      <c r="Y34" s="430"/>
      <c r="Z34" s="354"/>
    </row>
    <row r="35" spans="1:26" s="345" customFormat="1" ht="14.25">
      <c r="A35" s="193">
        <f t="shared" si="2"/>
        <v>198</v>
      </c>
      <c r="B35" s="240"/>
      <c r="C35" s="195"/>
      <c r="D35" s="195"/>
      <c r="E35" s="195"/>
      <c r="F35" s="195"/>
      <c r="G35" s="195"/>
      <c r="H35" s="241"/>
      <c r="I35" s="195"/>
      <c r="J35" s="195"/>
      <c r="K35" s="195"/>
      <c r="L35" s="55">
        <f>E35+G35+K35</f>
        <v>0</v>
      </c>
      <c r="M35" s="273"/>
      <c r="N35" s="196"/>
      <c r="O35" s="196"/>
      <c r="P35" s="196">
        <f t="shared" si="1"/>
        <v>0</v>
      </c>
      <c r="Q35" s="250"/>
      <c r="R35" s="196">
        <f t="shared" si="4"/>
        <v>0</v>
      </c>
      <c r="S35" s="273"/>
      <c r="T35" s="197"/>
      <c r="U35" s="432"/>
      <c r="V35" s="432"/>
      <c r="W35" s="53">
        <f t="shared" si="5"/>
        <v>0</v>
      </c>
      <c r="X35" s="53">
        <f t="shared" si="6"/>
        <v>0</v>
      </c>
      <c r="Y35" s="432"/>
    </row>
    <row r="36" spans="1:26" s="345" customFormat="1" ht="14.25">
      <c r="A36" s="193">
        <f t="shared" si="2"/>
        <v>199</v>
      </c>
      <c r="B36" s="240"/>
      <c r="C36" s="195"/>
      <c r="D36" s="195"/>
      <c r="E36" s="195"/>
      <c r="F36" s="195"/>
      <c r="G36" s="195"/>
      <c r="H36" s="241"/>
      <c r="I36" s="195"/>
      <c r="J36" s="195"/>
      <c r="K36" s="195"/>
      <c r="L36" s="55">
        <f>E36+G36+K36</f>
        <v>0</v>
      </c>
      <c r="M36" s="273"/>
      <c r="N36" s="196"/>
      <c r="O36" s="196"/>
      <c r="P36" s="196">
        <f t="shared" si="1"/>
        <v>0</v>
      </c>
      <c r="Q36" s="250"/>
      <c r="R36" s="196">
        <f t="shared" si="4"/>
        <v>0</v>
      </c>
      <c r="S36" s="273"/>
      <c r="T36" s="197"/>
      <c r="U36" s="432"/>
      <c r="V36" s="432"/>
      <c r="W36" s="53">
        <f t="shared" si="5"/>
        <v>0</v>
      </c>
      <c r="X36" s="53">
        <f t="shared" si="6"/>
        <v>0</v>
      </c>
      <c r="Y36" s="432"/>
    </row>
    <row r="37" spans="1:26" s="345" customFormat="1" ht="14.25">
      <c r="A37" s="193">
        <f t="shared" si="2"/>
        <v>200</v>
      </c>
      <c r="B37" s="433" t="s">
        <v>454</v>
      </c>
      <c r="C37" s="195"/>
      <c r="D37" s="195"/>
      <c r="E37" s="195"/>
      <c r="F37" s="195"/>
      <c r="G37" s="195"/>
      <c r="H37" s="241"/>
      <c r="I37" s="195"/>
      <c r="J37" s="195"/>
      <c r="K37" s="195"/>
      <c r="L37" s="55">
        <f>E37+G37+K37</f>
        <v>0</v>
      </c>
      <c r="M37" s="273"/>
      <c r="N37" s="196"/>
      <c r="O37" s="196"/>
      <c r="P37" s="196">
        <f t="shared" si="1"/>
        <v>0</v>
      </c>
      <c r="Q37" s="250"/>
      <c r="R37" s="196">
        <f t="shared" si="4"/>
        <v>0</v>
      </c>
      <c r="S37" s="273"/>
      <c r="T37" s="197"/>
      <c r="U37" s="432"/>
      <c r="V37" s="432"/>
      <c r="W37" s="53">
        <f t="shared" si="5"/>
        <v>0</v>
      </c>
      <c r="X37" s="53">
        <f t="shared" si="6"/>
        <v>0</v>
      </c>
      <c r="Y37" s="432"/>
    </row>
    <row r="38" spans="1:26" s="345" customFormat="1">
      <c r="A38" s="193">
        <f t="shared" si="2"/>
        <v>201</v>
      </c>
      <c r="B38" s="222" t="s">
        <v>455</v>
      </c>
      <c r="C38" s="195">
        <v>597000</v>
      </c>
      <c r="D38" s="195">
        <v>0</v>
      </c>
      <c r="E38" s="195">
        <v>251834</v>
      </c>
      <c r="F38" s="195"/>
      <c r="G38" s="195"/>
      <c r="H38" s="241"/>
      <c r="I38" s="195"/>
      <c r="J38" s="195"/>
      <c r="K38" s="195"/>
      <c r="L38" s="195"/>
      <c r="M38" s="273"/>
      <c r="N38" s="196"/>
      <c r="O38" s="196"/>
      <c r="P38" s="196">
        <f t="shared" si="1"/>
        <v>0</v>
      </c>
      <c r="Q38" s="250"/>
      <c r="R38" s="196">
        <f t="shared" si="4"/>
        <v>0</v>
      </c>
      <c r="S38" s="273"/>
      <c r="T38" s="434"/>
      <c r="U38" s="434"/>
      <c r="V38" s="434"/>
      <c r="W38" s="434"/>
      <c r="X38" s="53">
        <f t="shared" si="6"/>
        <v>0</v>
      </c>
      <c r="Y38" s="435"/>
    </row>
    <row r="39" spans="1:26" s="345" customFormat="1">
      <c r="A39" s="193">
        <f t="shared" si="2"/>
        <v>202</v>
      </c>
      <c r="B39" s="222" t="s">
        <v>456</v>
      </c>
      <c r="C39" s="195"/>
      <c r="D39" s="195">
        <v>233000</v>
      </c>
      <c r="E39" s="342">
        <v>0</v>
      </c>
      <c r="F39" s="195">
        <v>73500</v>
      </c>
      <c r="G39" s="195">
        <v>30000</v>
      </c>
      <c r="H39" s="241" t="s">
        <v>457</v>
      </c>
      <c r="I39" s="195"/>
      <c r="J39" s="195">
        <v>73500</v>
      </c>
      <c r="K39" s="195">
        <f>J39</f>
        <v>73500</v>
      </c>
      <c r="L39" s="195"/>
      <c r="M39" s="273"/>
      <c r="N39" s="196"/>
      <c r="O39" s="196">
        <v>73500</v>
      </c>
      <c r="P39" s="196">
        <f t="shared" si="1"/>
        <v>73500</v>
      </c>
      <c r="Q39" s="250"/>
      <c r="R39" s="196">
        <f t="shared" si="4"/>
        <v>73500</v>
      </c>
      <c r="S39" s="273"/>
      <c r="T39" s="191">
        <v>67500</v>
      </c>
      <c r="U39" s="166">
        <v>2000</v>
      </c>
      <c r="V39" s="166">
        <v>67500</v>
      </c>
      <c r="W39" s="53">
        <f t="shared" ref="W39:W47" si="19">U39+V39</f>
        <v>69500</v>
      </c>
      <c r="X39" s="53">
        <f t="shared" si="6"/>
        <v>137000</v>
      </c>
      <c r="Y39" s="166"/>
    </row>
    <row r="40" spans="1:26" s="345" customFormat="1" ht="31.5">
      <c r="A40" s="193">
        <f t="shared" si="2"/>
        <v>203</v>
      </c>
      <c r="B40" s="222" t="s">
        <v>458</v>
      </c>
      <c r="C40" s="195"/>
      <c r="D40" s="195">
        <v>39000</v>
      </c>
      <c r="E40" s="342">
        <v>0</v>
      </c>
      <c r="F40" s="195">
        <v>10000</v>
      </c>
      <c r="G40" s="195">
        <v>5000</v>
      </c>
      <c r="H40" s="241" t="s">
        <v>457</v>
      </c>
      <c r="I40" s="195"/>
      <c r="J40" s="195">
        <v>10000</v>
      </c>
      <c r="K40" s="195">
        <f t="shared" ref="K40:K45" si="20">J40</f>
        <v>10000</v>
      </c>
      <c r="L40" s="195"/>
      <c r="M40" s="273"/>
      <c r="N40" s="196"/>
      <c r="O40" s="196">
        <v>10000</v>
      </c>
      <c r="P40" s="196">
        <f t="shared" si="1"/>
        <v>10000</v>
      </c>
      <c r="Q40" s="250"/>
      <c r="R40" s="196">
        <f t="shared" si="4"/>
        <v>10000</v>
      </c>
      <c r="S40" s="273"/>
      <c r="T40" s="202">
        <v>10000</v>
      </c>
      <c r="U40" s="166"/>
      <c r="V40" s="202">
        <v>10000</v>
      </c>
      <c r="W40" s="53">
        <f t="shared" si="19"/>
        <v>10000</v>
      </c>
      <c r="X40" s="53">
        <f t="shared" si="6"/>
        <v>20000</v>
      </c>
      <c r="Y40" s="167" t="s">
        <v>459</v>
      </c>
    </row>
    <row r="41" spans="1:26" s="345" customFormat="1">
      <c r="A41" s="193">
        <f t="shared" si="2"/>
        <v>204</v>
      </c>
      <c r="B41" s="222" t="s">
        <v>460</v>
      </c>
      <c r="C41" s="195"/>
      <c r="D41" s="195">
        <v>10500</v>
      </c>
      <c r="E41" s="342">
        <v>0</v>
      </c>
      <c r="F41" s="195">
        <v>1500</v>
      </c>
      <c r="G41" s="195">
        <v>1500</v>
      </c>
      <c r="H41" s="241" t="s">
        <v>457</v>
      </c>
      <c r="I41" s="195">
        <v>3500</v>
      </c>
      <c r="J41" s="195">
        <v>1500</v>
      </c>
      <c r="K41" s="195">
        <f t="shared" si="20"/>
        <v>1500</v>
      </c>
      <c r="L41" s="195"/>
      <c r="M41" s="273"/>
      <c r="N41" s="196">
        <v>3500</v>
      </c>
      <c r="O41" s="196">
        <v>1500</v>
      </c>
      <c r="P41" s="196">
        <f t="shared" si="1"/>
        <v>5000</v>
      </c>
      <c r="Q41" s="250"/>
      <c r="R41" s="196">
        <f t="shared" si="4"/>
        <v>5000</v>
      </c>
      <c r="S41" s="273"/>
      <c r="T41" s="191">
        <v>1500</v>
      </c>
      <c r="U41" s="191">
        <v>3500</v>
      </c>
      <c r="V41" s="191">
        <v>1500</v>
      </c>
      <c r="W41" s="53">
        <f t="shared" si="19"/>
        <v>5000</v>
      </c>
      <c r="X41" s="53">
        <f t="shared" si="6"/>
        <v>6500</v>
      </c>
      <c r="Y41" s="435"/>
    </row>
    <row r="42" spans="1:26" s="345" customFormat="1">
      <c r="A42" s="193">
        <f>A41+1</f>
        <v>205</v>
      </c>
      <c r="B42" s="222" t="s">
        <v>461</v>
      </c>
      <c r="C42" s="195"/>
      <c r="D42" s="195">
        <v>102000</v>
      </c>
      <c r="E42" s="342">
        <v>0</v>
      </c>
      <c r="F42" s="195">
        <v>25000</v>
      </c>
      <c r="G42" s="195">
        <v>30000</v>
      </c>
      <c r="H42" s="241" t="s">
        <v>457</v>
      </c>
      <c r="I42" s="195">
        <v>15000</v>
      </c>
      <c r="J42" s="195">
        <v>25000</v>
      </c>
      <c r="K42" s="195">
        <f t="shared" si="20"/>
        <v>25000</v>
      </c>
      <c r="L42" s="195"/>
      <c r="M42" s="273"/>
      <c r="N42" s="196">
        <v>15000</v>
      </c>
      <c r="O42" s="196">
        <v>25000</v>
      </c>
      <c r="P42" s="196">
        <f t="shared" si="1"/>
        <v>40000</v>
      </c>
      <c r="Q42" s="250"/>
      <c r="R42" s="196">
        <f t="shared" si="4"/>
        <v>40000</v>
      </c>
      <c r="S42" s="273"/>
      <c r="T42" s="191">
        <v>25000</v>
      </c>
      <c r="U42" s="166">
        <v>15000</v>
      </c>
      <c r="V42" s="166">
        <v>25000</v>
      </c>
      <c r="W42" s="53">
        <f t="shared" si="19"/>
        <v>40000</v>
      </c>
      <c r="X42" s="53">
        <f t="shared" si="6"/>
        <v>65000</v>
      </c>
      <c r="Y42" s="166"/>
    </row>
    <row r="43" spans="1:26" s="345" customFormat="1" ht="34.9" customHeight="1">
      <c r="A43" s="193">
        <f t="shared" si="2"/>
        <v>206</v>
      </c>
      <c r="B43" s="222" t="s">
        <v>462</v>
      </c>
      <c r="C43" s="195"/>
      <c r="D43" s="195">
        <v>254000</v>
      </c>
      <c r="E43" s="342">
        <v>0</v>
      </c>
      <c r="F43" s="195">
        <v>75000</v>
      </c>
      <c r="G43" s="195">
        <v>25000</v>
      </c>
      <c r="H43" s="241" t="s">
        <v>457</v>
      </c>
      <c r="I43" s="195"/>
      <c r="J43" s="195">
        <v>75000</v>
      </c>
      <c r="K43" s="195">
        <f t="shared" si="20"/>
        <v>75000</v>
      </c>
      <c r="L43" s="195"/>
      <c r="M43" s="273"/>
      <c r="N43" s="196"/>
      <c r="O43" s="196">
        <v>75000</v>
      </c>
      <c r="P43" s="196">
        <f t="shared" si="1"/>
        <v>75000</v>
      </c>
      <c r="Q43" s="250"/>
      <c r="R43" s="196">
        <f t="shared" si="4"/>
        <v>75000</v>
      </c>
      <c r="S43" s="273"/>
      <c r="T43" s="191">
        <v>70000</v>
      </c>
      <c r="U43" s="166"/>
      <c r="V43" s="166">
        <v>70000</v>
      </c>
      <c r="W43" s="53">
        <f t="shared" si="19"/>
        <v>70000</v>
      </c>
      <c r="X43" s="53">
        <f t="shared" si="6"/>
        <v>140000</v>
      </c>
      <c r="Y43" s="166"/>
    </row>
    <row r="44" spans="1:26" s="345" customFormat="1">
      <c r="A44" s="193">
        <f t="shared" si="2"/>
        <v>207</v>
      </c>
      <c r="B44" s="222" t="s">
        <v>463</v>
      </c>
      <c r="C44" s="195"/>
      <c r="D44" s="195">
        <v>80000</v>
      </c>
      <c r="E44" s="342">
        <v>0</v>
      </c>
      <c r="F44" s="195">
        <v>26666</v>
      </c>
      <c r="G44" s="195">
        <v>26666</v>
      </c>
      <c r="H44" s="241"/>
      <c r="I44" s="195"/>
      <c r="J44" s="195">
        <v>26666</v>
      </c>
      <c r="K44" s="195">
        <f t="shared" si="20"/>
        <v>26666</v>
      </c>
      <c r="L44" s="195"/>
      <c r="M44" s="273"/>
      <c r="N44" s="196"/>
      <c r="O44" s="196">
        <v>26666</v>
      </c>
      <c r="P44" s="196">
        <f t="shared" si="1"/>
        <v>26666</v>
      </c>
      <c r="Q44" s="250"/>
      <c r="R44" s="196">
        <f t="shared" si="4"/>
        <v>26666</v>
      </c>
      <c r="S44" s="273"/>
      <c r="T44" s="191">
        <v>26666</v>
      </c>
      <c r="U44" s="166"/>
      <c r="V44" s="166">
        <v>26666</v>
      </c>
      <c r="W44" s="53">
        <f t="shared" si="19"/>
        <v>26666</v>
      </c>
      <c r="X44" s="53">
        <f t="shared" si="6"/>
        <v>53332</v>
      </c>
      <c r="Y44" s="166"/>
    </row>
    <row r="45" spans="1:26" s="345" customFormat="1">
      <c r="A45" s="193">
        <f t="shared" si="2"/>
        <v>208</v>
      </c>
      <c r="B45" s="222" t="s">
        <v>464</v>
      </c>
      <c r="C45" s="195"/>
      <c r="D45" s="195">
        <v>19500</v>
      </c>
      <c r="E45" s="342">
        <v>0</v>
      </c>
      <c r="F45" s="195">
        <v>6500</v>
      </c>
      <c r="G45" s="195">
        <v>6500</v>
      </c>
      <c r="H45" s="241" t="s">
        <v>457</v>
      </c>
      <c r="I45" s="195"/>
      <c r="J45" s="195">
        <v>6500</v>
      </c>
      <c r="K45" s="195">
        <f t="shared" si="20"/>
        <v>6500</v>
      </c>
      <c r="L45" s="195"/>
      <c r="M45" s="273"/>
      <c r="N45" s="196"/>
      <c r="O45" s="196">
        <v>6500</v>
      </c>
      <c r="P45" s="196">
        <f t="shared" si="1"/>
        <v>6500</v>
      </c>
      <c r="Q45" s="250"/>
      <c r="R45" s="196">
        <f t="shared" si="4"/>
        <v>6500</v>
      </c>
      <c r="S45" s="273"/>
      <c r="T45" s="191">
        <v>6500</v>
      </c>
      <c r="U45" s="166"/>
      <c r="V45" s="166">
        <v>7500</v>
      </c>
      <c r="W45" s="53">
        <f t="shared" si="19"/>
        <v>7500</v>
      </c>
      <c r="X45" s="53">
        <f t="shared" si="6"/>
        <v>14000</v>
      </c>
      <c r="Y45" s="166"/>
    </row>
    <row r="46" spans="1:26" s="345" customFormat="1">
      <c r="A46" s="193" t="s">
        <v>465</v>
      </c>
      <c r="B46" s="222" t="s">
        <v>179</v>
      </c>
      <c r="C46" s="195"/>
      <c r="D46" s="195"/>
      <c r="E46" s="342">
        <v>0</v>
      </c>
      <c r="F46" s="195"/>
      <c r="G46" s="195">
        <v>0</v>
      </c>
      <c r="H46" s="241"/>
      <c r="I46" s="195"/>
      <c r="J46" s="195"/>
      <c r="K46" s="195">
        <f>I49</f>
        <v>18500</v>
      </c>
      <c r="L46" s="195"/>
      <c r="M46" s="273"/>
      <c r="N46" s="196"/>
      <c r="O46" s="196"/>
      <c r="P46" s="196">
        <f t="shared" si="1"/>
        <v>0</v>
      </c>
      <c r="Q46" s="250"/>
      <c r="R46" s="196">
        <f t="shared" si="4"/>
        <v>0</v>
      </c>
      <c r="S46" s="273"/>
      <c r="T46" s="191"/>
      <c r="U46" s="166"/>
      <c r="V46" s="166"/>
      <c r="W46" s="53">
        <f t="shared" si="19"/>
        <v>0</v>
      </c>
      <c r="X46" s="53">
        <f t="shared" si="6"/>
        <v>0</v>
      </c>
      <c r="Y46" s="166"/>
    </row>
    <row r="47" spans="1:26" s="345" customFormat="1">
      <c r="A47" s="193"/>
      <c r="B47" s="222"/>
      <c r="C47" s="195"/>
      <c r="D47" s="195"/>
      <c r="E47" s="342">
        <v>0</v>
      </c>
      <c r="F47" s="195"/>
      <c r="G47" s="195">
        <v>0</v>
      </c>
      <c r="H47" s="241"/>
      <c r="I47" s="195"/>
      <c r="J47" s="195"/>
      <c r="K47" s="195"/>
      <c r="L47" s="195">
        <f t="shared" ref="L47:L56" si="21">E47+G47+K47</f>
        <v>0</v>
      </c>
      <c r="M47" s="273"/>
      <c r="N47" s="196"/>
      <c r="O47" s="196"/>
      <c r="P47" s="196">
        <f t="shared" si="1"/>
        <v>0</v>
      </c>
      <c r="Q47" s="250"/>
      <c r="R47" s="196">
        <f t="shared" si="4"/>
        <v>0</v>
      </c>
      <c r="S47" s="273"/>
      <c r="T47" s="191"/>
      <c r="U47" s="166"/>
      <c r="V47" s="166"/>
      <c r="W47" s="53">
        <f t="shared" si="19"/>
        <v>0</v>
      </c>
      <c r="X47" s="53">
        <f t="shared" si="6"/>
        <v>0</v>
      </c>
      <c r="Y47" s="166"/>
    </row>
    <row r="48" spans="1:26" s="345" customFormat="1" ht="17.850000000000001" customHeight="1">
      <c r="A48" s="193">
        <f>A45+1</f>
        <v>209</v>
      </c>
      <c r="B48" s="222" t="s">
        <v>181</v>
      </c>
      <c r="C48" s="195">
        <f>'[4]Salary Summary GC Adopted'!Y20</f>
        <v>1055888.9583546571</v>
      </c>
      <c r="D48" s="195">
        <v>1361201.251021893</v>
      </c>
      <c r="E48" s="342">
        <v>439169</v>
      </c>
      <c r="F48" s="195">
        <f>'[3]Salary Summary 19 for 2019-2021'!L22</f>
        <v>434340.00453066797</v>
      </c>
      <c r="G48" s="195">
        <f>F48</f>
        <v>434340.00453066797</v>
      </c>
      <c r="H48" s="241"/>
      <c r="I48" s="195"/>
      <c r="J48" s="195">
        <f>'[3]Salary Summary 20 for 2019-2021'!P22</f>
        <v>493861.24867970403</v>
      </c>
      <c r="K48" s="195">
        <f>J48</f>
        <v>493861.24867970403</v>
      </c>
      <c r="L48" s="195">
        <f t="shared" si="21"/>
        <v>1367370.2532103721</v>
      </c>
      <c r="M48" s="273"/>
      <c r="N48" s="196"/>
      <c r="O48" s="196">
        <f>'Salary Summary 21 for 2022-2024'!M23</f>
        <v>507553.64546390733</v>
      </c>
      <c r="P48" s="196">
        <f t="shared" si="1"/>
        <v>507553.64546390733</v>
      </c>
      <c r="Q48" s="250"/>
      <c r="R48" s="196">
        <f t="shared" si="4"/>
        <v>507553.64546390733</v>
      </c>
      <c r="S48" s="273"/>
      <c r="T48" s="202">
        <f>'Salary Summary 21 for 2022-2024'!Q23</f>
        <v>521880.09556135634</v>
      </c>
      <c r="U48" s="166"/>
      <c r="V48" s="202">
        <f>'Salary Summary 21 for 2022-2024'!U23</f>
        <v>538614.21589615499</v>
      </c>
      <c r="W48" s="53">
        <f>U48+V48</f>
        <v>538614.21589615499</v>
      </c>
      <c r="X48" s="53">
        <f>T48+W48</f>
        <v>1060494.3114575113</v>
      </c>
      <c r="Y48" s="166"/>
    </row>
    <row r="49" spans="1:25" s="354" customFormat="1">
      <c r="A49" s="252">
        <f t="shared" si="2"/>
        <v>210</v>
      </c>
      <c r="B49" s="436" t="s">
        <v>466</v>
      </c>
      <c r="C49" s="415">
        <f>SUM(C38:C48)</f>
        <v>1652888.9583546571</v>
      </c>
      <c r="D49" s="437">
        <f t="shared" ref="D49:K49" si="22">SUM(D38:D48)</f>
        <v>2099201.2510218928</v>
      </c>
      <c r="E49" s="437">
        <f t="shared" si="22"/>
        <v>691003</v>
      </c>
      <c r="F49" s="437">
        <f t="shared" si="22"/>
        <v>652506.00453066803</v>
      </c>
      <c r="G49" s="437">
        <f t="shared" si="22"/>
        <v>559006.00453066803</v>
      </c>
      <c r="H49" s="437">
        <f t="shared" si="22"/>
        <v>0</v>
      </c>
      <c r="I49" s="437">
        <f t="shared" si="22"/>
        <v>18500</v>
      </c>
      <c r="J49" s="437">
        <f t="shared" si="22"/>
        <v>712027.24867970403</v>
      </c>
      <c r="K49" s="437">
        <f t="shared" si="22"/>
        <v>730527.24867970403</v>
      </c>
      <c r="L49" s="437">
        <f t="shared" si="21"/>
        <v>1980536.2532103721</v>
      </c>
      <c r="M49" s="438"/>
      <c r="N49" s="439">
        <f t="shared" ref="N49:P49" si="23">SUM(N38:N48)</f>
        <v>18500</v>
      </c>
      <c r="O49" s="439">
        <f t="shared" si="23"/>
        <v>725719.64546390739</v>
      </c>
      <c r="P49" s="439">
        <f t="shared" si="23"/>
        <v>744219.64546390739</v>
      </c>
      <c r="Q49" s="418"/>
      <c r="R49" s="439">
        <f t="shared" si="4"/>
        <v>744219.64546390739</v>
      </c>
      <c r="S49" s="438"/>
      <c r="T49" s="419">
        <f>SUM(T38:T48)</f>
        <v>729046.09556135628</v>
      </c>
      <c r="U49" s="419">
        <f t="shared" ref="U49:X49" si="24">SUM(U38:U48)</f>
        <v>20500</v>
      </c>
      <c r="V49" s="419">
        <f t="shared" si="24"/>
        <v>746780.21589615499</v>
      </c>
      <c r="W49" s="419">
        <f t="shared" si="24"/>
        <v>767280.21589615499</v>
      </c>
      <c r="X49" s="419">
        <f t="shared" si="24"/>
        <v>1496326.3114575113</v>
      </c>
      <c r="Y49" s="420"/>
    </row>
    <row r="50" spans="1:25">
      <c r="A50" s="193">
        <f t="shared" si="2"/>
        <v>211</v>
      </c>
      <c r="C50" s="49"/>
      <c r="D50" s="49">
        <v>0</v>
      </c>
      <c r="E50" s="49"/>
      <c r="F50" s="49"/>
      <c r="G50" s="49"/>
      <c r="H50" s="50"/>
      <c r="I50" s="49"/>
      <c r="J50" s="49"/>
      <c r="K50" s="49"/>
      <c r="L50" s="55">
        <f t="shared" si="21"/>
        <v>0</v>
      </c>
      <c r="M50" s="46"/>
      <c r="N50" s="44"/>
      <c r="O50" s="44"/>
      <c r="P50" s="44">
        <f t="shared" si="1"/>
        <v>0</v>
      </c>
      <c r="Q50" s="265"/>
      <c r="R50" s="44">
        <f t="shared" si="4"/>
        <v>0</v>
      </c>
      <c r="S50" s="46"/>
      <c r="T50" s="191"/>
      <c r="U50" s="166"/>
      <c r="V50" s="166"/>
      <c r="W50" s="166"/>
      <c r="X50" s="166"/>
      <c r="Y50" s="166"/>
    </row>
    <row r="51" spans="1:25" s="240" customFormat="1">
      <c r="A51" s="193">
        <f t="shared" si="2"/>
        <v>212</v>
      </c>
      <c r="B51" s="236" t="s">
        <v>99</v>
      </c>
      <c r="C51" s="195"/>
      <c r="D51" s="195">
        <v>0</v>
      </c>
      <c r="E51" s="195"/>
      <c r="F51" s="49"/>
      <c r="G51" s="49"/>
      <c r="H51" s="50"/>
      <c r="I51" s="195"/>
      <c r="J51" s="195"/>
      <c r="K51" s="195"/>
      <c r="L51" s="55">
        <f t="shared" si="21"/>
        <v>0</v>
      </c>
      <c r="M51" s="273"/>
      <c r="N51" s="196"/>
      <c r="O51" s="196"/>
      <c r="P51" s="196">
        <f t="shared" si="1"/>
        <v>0</v>
      </c>
      <c r="Q51" s="440"/>
      <c r="R51" s="196">
        <f t="shared" si="4"/>
        <v>0</v>
      </c>
      <c r="S51" s="273"/>
      <c r="T51" s="191"/>
      <c r="U51" s="166"/>
      <c r="V51" s="166"/>
      <c r="W51" s="166"/>
      <c r="X51" s="166"/>
      <c r="Y51" s="166"/>
    </row>
    <row r="52" spans="1:25" s="240" customFormat="1">
      <c r="A52" s="193">
        <f t="shared" si="2"/>
        <v>213</v>
      </c>
      <c r="B52" s="240" t="s">
        <v>467</v>
      </c>
      <c r="C52" s="195">
        <f>-C53-C55</f>
        <v>-561728.63640063885</v>
      </c>
      <c r="D52" s="49"/>
      <c r="E52" s="49"/>
      <c r="F52" s="49"/>
      <c r="G52" s="49"/>
      <c r="H52" s="50"/>
      <c r="I52" s="49"/>
      <c r="J52" s="49"/>
      <c r="K52" s="49"/>
      <c r="L52" s="55">
        <f t="shared" si="21"/>
        <v>0</v>
      </c>
      <c r="M52" s="46"/>
      <c r="N52" s="44"/>
      <c r="O52" s="44"/>
      <c r="P52" s="44">
        <f t="shared" si="1"/>
        <v>0</v>
      </c>
      <c r="Q52" s="441"/>
      <c r="R52" s="44">
        <f t="shared" si="4"/>
        <v>0</v>
      </c>
      <c r="S52" s="46"/>
      <c r="T52" s="191"/>
      <c r="U52" s="166"/>
      <c r="V52" s="166"/>
      <c r="W52" s="166"/>
      <c r="X52" s="166"/>
      <c r="Y52" s="166"/>
    </row>
    <row r="53" spans="1:25" s="240" customFormat="1" ht="42.75">
      <c r="A53" s="193">
        <f t="shared" si="2"/>
        <v>214</v>
      </c>
      <c r="B53" s="240" t="s">
        <v>468</v>
      </c>
      <c r="C53" s="195">
        <v>339550</v>
      </c>
      <c r="D53" s="49">
        <v>128747</v>
      </c>
      <c r="E53" s="55">
        <v>44740</v>
      </c>
      <c r="F53" s="49">
        <v>42916</v>
      </c>
      <c r="G53" s="49">
        <f>F53</f>
        <v>42916</v>
      </c>
      <c r="H53" s="50" t="s">
        <v>469</v>
      </c>
      <c r="I53" s="49">
        <v>2000</v>
      </c>
      <c r="J53" s="49">
        <v>40916</v>
      </c>
      <c r="K53" s="49">
        <f>J53</f>
        <v>40916</v>
      </c>
      <c r="L53" s="55">
        <f t="shared" si="21"/>
        <v>128572</v>
      </c>
      <c r="M53" s="46"/>
      <c r="N53" s="44">
        <v>2000</v>
      </c>
      <c r="O53" s="44">
        <v>43000</v>
      </c>
      <c r="P53" s="44">
        <f t="shared" si="1"/>
        <v>45000</v>
      </c>
      <c r="Q53" s="441"/>
      <c r="R53" s="44">
        <f t="shared" si="4"/>
        <v>45000</v>
      </c>
      <c r="S53" s="46"/>
      <c r="T53" s="191">
        <v>43000</v>
      </c>
      <c r="U53" s="166"/>
      <c r="V53" s="166">
        <v>43000</v>
      </c>
      <c r="W53" s="53">
        <f t="shared" ref="W53:W54" si="25">U53+V53</f>
        <v>43000</v>
      </c>
      <c r="X53" s="53">
        <f t="shared" ref="X53:X54" si="26">T53+W53</f>
        <v>86000</v>
      </c>
      <c r="Y53" s="166"/>
    </row>
    <row r="54" spans="1:25" s="240" customFormat="1">
      <c r="A54" s="193" t="s">
        <v>470</v>
      </c>
      <c r="B54" s="240" t="s">
        <v>179</v>
      </c>
      <c r="C54" s="195"/>
      <c r="D54" s="49"/>
      <c r="E54" s="55"/>
      <c r="F54" s="49"/>
      <c r="G54" s="49"/>
      <c r="H54" s="50"/>
      <c r="I54" s="49"/>
      <c r="J54" s="49"/>
      <c r="K54" s="49">
        <f>I56</f>
        <v>2000</v>
      </c>
      <c r="L54" s="49">
        <f t="shared" si="21"/>
        <v>2000</v>
      </c>
      <c r="M54" s="46"/>
      <c r="N54" s="44"/>
      <c r="O54" s="44"/>
      <c r="P54" s="44">
        <f t="shared" si="1"/>
        <v>0</v>
      </c>
      <c r="Q54" s="441"/>
      <c r="R54" s="44">
        <f t="shared" si="4"/>
        <v>0</v>
      </c>
      <c r="S54" s="46"/>
      <c r="T54" s="191"/>
      <c r="U54" s="166"/>
      <c r="V54" s="166"/>
      <c r="W54" s="53">
        <f t="shared" si="25"/>
        <v>0</v>
      </c>
      <c r="X54" s="53">
        <f t="shared" si="26"/>
        <v>0</v>
      </c>
      <c r="Y54" s="166"/>
    </row>
    <row r="55" spans="1:25" s="240" customFormat="1" ht="25.15" customHeight="1">
      <c r="A55" s="193">
        <f>A53+1</f>
        <v>215</v>
      </c>
      <c r="B55" s="240" t="s">
        <v>471</v>
      </c>
      <c r="C55" s="195">
        <f>'[4]Salary Summary GC Adopted'!Y22</f>
        <v>222178.63640063885</v>
      </c>
      <c r="D55" s="49">
        <v>305377.1019732104</v>
      </c>
      <c r="E55" s="240">
        <v>94866</v>
      </c>
      <c r="F55" s="240">
        <f>'[3]Salary Summary 19 for 2019-2021'!L24</f>
        <v>100278.00557943201</v>
      </c>
      <c r="G55" s="49">
        <f>F55</f>
        <v>100278.00557943201</v>
      </c>
      <c r="H55" s="194"/>
      <c r="J55" s="240">
        <f>'[3]Salary Summary 20 for 2019-2021'!P24</f>
        <v>102540.09814681495</v>
      </c>
      <c r="K55" s="240">
        <f>J55</f>
        <v>102540.09814681495</v>
      </c>
      <c r="L55" s="49">
        <f t="shared" si="21"/>
        <v>297684.10372624698</v>
      </c>
      <c r="M55" s="46"/>
      <c r="N55" s="283"/>
      <c r="O55" s="44">
        <f>'Salary Summary 21 for 2022-2024'!M25</f>
        <v>105489.18941121941</v>
      </c>
      <c r="P55" s="44">
        <f t="shared" si="1"/>
        <v>105489.18941121941</v>
      </c>
      <c r="Q55" s="265"/>
      <c r="R55" s="44">
        <f t="shared" si="4"/>
        <v>105489.18941121941</v>
      </c>
      <c r="S55" s="46"/>
      <c r="T55" s="202">
        <f>'Salary Summary 21 for 2022-2024'!Q25</f>
        <v>109124.19110437365</v>
      </c>
      <c r="U55" s="166"/>
      <c r="V55" s="202">
        <f>'Salary Summary 21 for 2022-2024'!U25</f>
        <v>112717.44622236266</v>
      </c>
      <c r="W55" s="53">
        <f>U55+V55</f>
        <v>112717.44622236266</v>
      </c>
      <c r="X55" s="53">
        <f>T55+W55</f>
        <v>221841.63732673629</v>
      </c>
      <c r="Y55" s="166"/>
    </row>
    <row r="56" spans="1:25" s="269" customFormat="1">
      <c r="A56" s="252">
        <f t="shared" si="2"/>
        <v>216</v>
      </c>
      <c r="B56" s="269" t="s">
        <v>472</v>
      </c>
      <c r="C56" s="114">
        <f>SUM(C52:C55)</f>
        <v>0</v>
      </c>
      <c r="D56" s="114">
        <v>434124.1019732104</v>
      </c>
      <c r="E56" s="114">
        <f t="shared" ref="E56:K56" si="27">SUM(E52:E55)</f>
        <v>139606</v>
      </c>
      <c r="F56" s="114">
        <f t="shared" si="27"/>
        <v>143194.00557943201</v>
      </c>
      <c r="G56" s="114">
        <f t="shared" si="27"/>
        <v>143194.00557943201</v>
      </c>
      <c r="H56" s="115"/>
      <c r="I56" s="114">
        <f t="shared" si="27"/>
        <v>2000</v>
      </c>
      <c r="J56" s="114">
        <f t="shared" si="27"/>
        <v>143456.09814681497</v>
      </c>
      <c r="K56" s="114">
        <f t="shared" si="27"/>
        <v>145456.09814681497</v>
      </c>
      <c r="L56" s="114">
        <f t="shared" si="21"/>
        <v>428256.10372624698</v>
      </c>
      <c r="M56" s="116"/>
      <c r="N56" s="117">
        <f t="shared" ref="N56:P56" si="28">SUM(N52:N55)</f>
        <v>2000</v>
      </c>
      <c r="O56" s="117">
        <f t="shared" si="28"/>
        <v>148489.18941121941</v>
      </c>
      <c r="P56" s="117">
        <f t="shared" si="28"/>
        <v>150489.18941121941</v>
      </c>
      <c r="Q56" s="442" t="s">
        <v>473</v>
      </c>
      <c r="R56" s="117">
        <f t="shared" si="4"/>
        <v>150489.18941121941</v>
      </c>
      <c r="S56" s="116"/>
      <c r="T56" s="419">
        <f>SUM(T52:T55)</f>
        <v>152124.19110437366</v>
      </c>
      <c r="U56" s="419">
        <f t="shared" ref="U56:X56" si="29">SUM(U52:U55)</f>
        <v>0</v>
      </c>
      <c r="V56" s="419">
        <f t="shared" si="29"/>
        <v>155717.44622236266</v>
      </c>
      <c r="W56" s="419">
        <f t="shared" si="29"/>
        <v>155717.44622236266</v>
      </c>
      <c r="X56" s="419">
        <f t="shared" si="29"/>
        <v>307841.63732673629</v>
      </c>
      <c r="Y56" s="420" t="s">
        <v>474</v>
      </c>
    </row>
    <row r="57" spans="1:25">
      <c r="A57" s="193">
        <f t="shared" si="2"/>
        <v>217</v>
      </c>
      <c r="C57" s="49"/>
      <c r="D57" s="49"/>
      <c r="E57" s="49"/>
      <c r="F57" s="49"/>
      <c r="G57" s="49"/>
      <c r="H57" s="50"/>
      <c r="I57" s="49"/>
      <c r="J57" s="49"/>
      <c r="K57" s="49"/>
      <c r="L57" s="49"/>
      <c r="M57" s="46"/>
      <c r="N57" s="44"/>
      <c r="O57" s="44"/>
      <c r="P57" s="44">
        <f t="shared" si="1"/>
        <v>0</v>
      </c>
      <c r="Q57" s="265"/>
      <c r="R57" s="44">
        <f t="shared" si="4"/>
        <v>0</v>
      </c>
      <c r="S57" s="46"/>
      <c r="T57" s="166"/>
      <c r="U57" s="166"/>
      <c r="V57" s="166"/>
      <c r="W57" s="166"/>
      <c r="X57" s="166"/>
      <c r="Y57" s="166"/>
    </row>
    <row r="58" spans="1:25" s="444" customFormat="1">
      <c r="A58" s="252">
        <f t="shared" si="2"/>
        <v>218</v>
      </c>
      <c r="B58" s="414" t="s">
        <v>475</v>
      </c>
      <c r="C58" s="415">
        <f>C20+C25+C49+C34+C56</f>
        <v>8578824.9583546575</v>
      </c>
      <c r="D58" s="415">
        <v>13006051.030699112</v>
      </c>
      <c r="E58" s="415">
        <f t="shared" ref="E58:G58" si="30">E20+E25+E56+E49+E34</f>
        <v>4565628</v>
      </c>
      <c r="F58" s="415">
        <f t="shared" si="30"/>
        <v>4378789.0459537255</v>
      </c>
      <c r="G58" s="415">
        <f t="shared" si="30"/>
        <v>4098622.0459537255</v>
      </c>
      <c r="H58" s="254"/>
      <c r="I58" s="415">
        <f t="shared" ref="I58:K58" si="31">I20+I25+I56+I49+I34</f>
        <v>50500</v>
      </c>
      <c r="J58" s="415">
        <f t="shared" si="31"/>
        <v>4474549.488196278</v>
      </c>
      <c r="K58" s="415">
        <f t="shared" si="31"/>
        <v>4525049.488196278</v>
      </c>
      <c r="L58" s="415">
        <f>E58+G58+K58</f>
        <v>13189299.534150003</v>
      </c>
      <c r="M58" s="416"/>
      <c r="N58" s="417">
        <f t="shared" ref="N58:P58" si="32">N20+N25+N56+N49+N34</f>
        <v>50500</v>
      </c>
      <c r="O58" s="417">
        <f t="shared" si="32"/>
        <v>4754489.3520540502</v>
      </c>
      <c r="P58" s="417">
        <f t="shared" si="32"/>
        <v>4804989.3520540502</v>
      </c>
      <c r="Q58" s="418"/>
      <c r="R58" s="417">
        <f t="shared" si="4"/>
        <v>4804989.3520540502</v>
      </c>
      <c r="S58" s="416"/>
      <c r="T58" s="443">
        <f>T49+T56+T34+T25+T20</f>
        <v>4894591.4942990122</v>
      </c>
      <c r="U58" s="443">
        <f t="shared" ref="U58:X58" si="33">U49+U56+U34+U25+U20</f>
        <v>91500</v>
      </c>
      <c r="V58" s="443">
        <f t="shared" si="33"/>
        <v>4946496.7218031827</v>
      </c>
      <c r="W58" s="443">
        <f t="shared" si="33"/>
        <v>5037996.7218031827</v>
      </c>
      <c r="X58" s="443">
        <f t="shared" si="33"/>
        <v>9932588.216102194</v>
      </c>
      <c r="Y58" s="166"/>
    </row>
    <row r="59" spans="1:25">
      <c r="C59" s="49"/>
      <c r="D59" s="49"/>
      <c r="E59" s="49"/>
      <c r="F59" s="49"/>
      <c r="G59" s="49"/>
      <c r="H59" s="50"/>
      <c r="I59" s="49"/>
      <c r="J59" s="49"/>
      <c r="K59" s="49"/>
      <c r="L59" s="49"/>
      <c r="M59" s="46"/>
      <c r="N59" s="49"/>
      <c r="O59" s="49"/>
      <c r="P59" s="49"/>
      <c r="Q59" s="445"/>
      <c r="R59" s="49"/>
      <c r="S59" s="46"/>
    </row>
    <row r="67" spans="1:25">
      <c r="B67" s="280"/>
      <c r="C67" s="214"/>
      <c r="D67" s="214"/>
      <c r="E67" s="214"/>
      <c r="F67" s="214"/>
      <c r="G67" s="214"/>
      <c r="H67" s="215"/>
      <c r="I67" s="214"/>
      <c r="J67" s="214"/>
      <c r="K67" s="214"/>
      <c r="L67" s="214"/>
      <c r="M67" s="216"/>
      <c r="N67" s="214"/>
      <c r="O67" s="214"/>
      <c r="P67" s="214"/>
      <c r="Q67" s="446"/>
      <c r="R67" s="214"/>
      <c r="S67" s="216"/>
    </row>
    <row r="68" spans="1:25">
      <c r="B68" s="280"/>
      <c r="C68" s="214"/>
      <c r="D68" s="214"/>
      <c r="E68" s="214"/>
      <c r="F68" s="214"/>
      <c r="G68" s="214"/>
      <c r="H68" s="215"/>
      <c r="I68" s="214"/>
      <c r="J68" s="214"/>
      <c r="K68" s="214"/>
      <c r="L68" s="214"/>
      <c r="M68" s="216"/>
      <c r="N68" s="214"/>
      <c r="O68" s="214"/>
      <c r="P68" s="214"/>
      <c r="Q68" s="446"/>
      <c r="R68" s="214"/>
      <c r="S68" s="216"/>
    </row>
    <row r="69" spans="1:25">
      <c r="B69" s="280"/>
      <c r="C69" s="214"/>
      <c r="D69" s="214"/>
      <c r="E69" s="214"/>
      <c r="F69" s="214"/>
      <c r="G69" s="214"/>
      <c r="H69" s="215"/>
      <c r="I69" s="214"/>
      <c r="J69" s="214"/>
      <c r="K69" s="214"/>
      <c r="L69" s="214"/>
      <c r="M69" s="216"/>
      <c r="N69" s="214"/>
      <c r="O69" s="214"/>
      <c r="P69" s="214"/>
      <c r="Q69" s="446"/>
      <c r="R69" s="214"/>
      <c r="S69" s="216"/>
    </row>
    <row r="70" spans="1:25">
      <c r="B70" s="280"/>
      <c r="C70" s="214"/>
      <c r="D70" s="214"/>
      <c r="E70" s="214"/>
      <c r="F70" s="214"/>
      <c r="G70" s="214"/>
      <c r="H70" s="215"/>
      <c r="I70" s="214"/>
      <c r="J70" s="214"/>
      <c r="K70" s="214"/>
      <c r="L70" s="214"/>
      <c r="M70" s="216"/>
      <c r="N70" s="214"/>
      <c r="O70" s="214"/>
      <c r="P70" s="214"/>
      <c r="Q70" s="446"/>
      <c r="R70" s="214"/>
      <c r="S70" s="216"/>
    </row>
    <row r="71" spans="1:25">
      <c r="B71" s="280"/>
      <c r="C71" s="222"/>
      <c r="D71" s="222"/>
      <c r="E71" s="222"/>
      <c r="F71" s="222"/>
      <c r="G71" s="222"/>
      <c r="H71" s="356"/>
      <c r="I71" s="222"/>
      <c r="J71" s="222"/>
      <c r="K71" s="222"/>
      <c r="L71" s="222"/>
      <c r="M71" s="355"/>
      <c r="N71" s="222"/>
      <c r="O71" s="222"/>
      <c r="P71" s="222"/>
      <c r="R71" s="222"/>
      <c r="S71" s="355"/>
    </row>
    <row r="73" spans="1:25">
      <c r="B73" s="280"/>
      <c r="C73" s="214"/>
      <c r="D73" s="214"/>
      <c r="E73" s="214"/>
      <c r="F73" s="214"/>
      <c r="G73" s="214"/>
      <c r="H73" s="215"/>
      <c r="I73" s="214"/>
      <c r="J73" s="214"/>
      <c r="K73" s="214"/>
      <c r="L73" s="214"/>
      <c r="M73" s="216"/>
      <c r="N73" s="214"/>
      <c r="O73" s="214"/>
      <c r="P73" s="214"/>
      <c r="Q73" s="446"/>
      <c r="R73" s="214"/>
      <c r="S73" s="216"/>
    </row>
    <row r="74" spans="1:25">
      <c r="C74" s="214"/>
      <c r="D74" s="214"/>
      <c r="E74" s="214"/>
      <c r="F74" s="214"/>
      <c r="G74" s="214"/>
      <c r="H74" s="215"/>
      <c r="I74" s="214"/>
      <c r="J74" s="214"/>
      <c r="K74" s="214"/>
      <c r="L74" s="214"/>
      <c r="M74" s="216"/>
      <c r="N74" s="214"/>
      <c r="O74" s="214"/>
      <c r="P74" s="214"/>
      <c r="Q74" s="446"/>
      <c r="R74" s="214"/>
      <c r="S74" s="216"/>
    </row>
    <row r="75" spans="1:25" s="195" customFormat="1">
      <c r="A75" s="193"/>
      <c r="B75" s="407"/>
      <c r="H75" s="241"/>
      <c r="M75" s="273"/>
      <c r="Q75" s="425"/>
      <c r="S75" s="273"/>
      <c r="T75" s="9"/>
      <c r="U75" s="9"/>
      <c r="V75" s="9"/>
      <c r="W75" s="9"/>
      <c r="X75" s="9"/>
      <c r="Y75" s="9"/>
    </row>
    <row r="77" spans="1:25" s="195" customFormat="1">
      <c r="A77" s="193"/>
      <c r="B77" s="407"/>
      <c r="H77" s="241"/>
      <c r="M77" s="273"/>
      <c r="Q77" s="425"/>
      <c r="S77" s="273"/>
      <c r="T77" s="9"/>
      <c r="U77" s="9"/>
      <c r="V77" s="9"/>
      <c r="W77" s="9"/>
      <c r="X77" s="9"/>
      <c r="Y77" s="9"/>
    </row>
    <row r="81" spans="17:17">
      <c r="Q81" s="425" t="s">
        <v>187</v>
      </c>
    </row>
  </sheetData>
  <autoFilter ref="B5:Q60" xr:uid="{00000000-0009-0000-0000-000008000000}"/>
  <printOptions horizontalCentered="1" headings="1" gridLines="1"/>
  <pageMargins left="0.25" right="0.25" top="0.75" bottom="0.25" header="0.25" footer="0.25"/>
  <pageSetup scale="50" fitToHeight="2" orientation="landscape" r:id="rId1"/>
  <headerFooter>
    <oddFooter>Page &amp;P of &amp;N</oddFooter>
  </headerFooter>
  <rowBreaks count="1" manualBreakCount="1">
    <brk id="36" max="24" man="1"/>
  </rowBreaks>
  <colBreaks count="1" manualBreakCount="1">
    <brk id="17" max="5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EA6F5-E5F5-4DD1-ACCB-349A297AF262}">
  <sheetPr>
    <tabColor rgb="FFFF0000"/>
    <pageSetUpPr fitToPage="1"/>
  </sheetPr>
  <dimension ref="A1:Z234"/>
  <sheetViews>
    <sheetView view="pageBreakPreview" zoomScale="75" zoomScaleNormal="75" zoomScaleSheetLayoutView="75" workbookViewId="0">
      <pane xSplit="10" ySplit="5" topLeftCell="R172" activePane="bottomRight" state="frozen"/>
      <selection activeCell="B23" sqref="B23"/>
      <selection pane="topRight" activeCell="B23" sqref="B23"/>
      <selection pane="bottomLeft" activeCell="B23" sqref="B23"/>
      <selection pane="bottomRight" activeCell="B23" sqref="B23"/>
    </sheetView>
  </sheetViews>
  <sheetFormatPr defaultColWidth="9" defaultRowHeight="14.25"/>
  <cols>
    <col min="1" max="1" width="12.125" style="193" customWidth="1"/>
    <col min="2" max="2" width="35.375" style="345" customWidth="1"/>
    <col min="3" max="3" width="14.625" style="345" hidden="1" customWidth="1"/>
    <col min="4" max="4" width="11.625" style="345" hidden="1" customWidth="1"/>
    <col min="5" max="5" width="14.25" style="345" hidden="1" customWidth="1"/>
    <col min="6" max="6" width="14.75" style="345" hidden="1" customWidth="1"/>
    <col min="7" max="7" width="15.125" style="345" hidden="1" customWidth="1"/>
    <col min="8" max="8" width="12.125" style="280" hidden="1" customWidth="1"/>
    <col min="9" max="9" width="15.125" style="345" hidden="1" customWidth="1"/>
    <col min="10" max="10" width="15.125" style="345" customWidth="1"/>
    <col min="11" max="11" width="13.5" style="345" customWidth="1"/>
    <col min="12" max="12" width="12.25" style="345" hidden="1" customWidth="1"/>
    <col min="13" max="13" width="5.5" style="514" customWidth="1"/>
    <col min="14" max="14" width="10.5" style="345" customWidth="1"/>
    <col min="15" max="15" width="10.625" style="345" customWidth="1"/>
    <col min="16" max="16" width="15.125" style="345" customWidth="1"/>
    <col min="17" max="17" width="51.125" style="425" customWidth="1"/>
    <col min="18" max="18" width="15.125" style="345" customWidth="1"/>
    <col min="19" max="19" width="6.125" style="514" hidden="1" customWidth="1"/>
    <col min="20" max="20" width="20.875" style="345" hidden="1" customWidth="1"/>
    <col min="21" max="21" width="18" style="345" hidden="1" customWidth="1"/>
    <col min="22" max="22" width="20.375" style="345" hidden="1" customWidth="1"/>
    <col min="23" max="23" width="14.5" style="345" hidden="1" customWidth="1"/>
    <col min="24" max="24" width="19.875" style="345" hidden="1" customWidth="1"/>
    <col min="25" max="25" width="57.75" style="345" hidden="1" customWidth="1"/>
    <col min="26" max="16384" width="9" style="345"/>
  </cols>
  <sheetData>
    <row r="1" spans="1:26" s="9" customFormat="1" ht="15" customHeight="1">
      <c r="A1" s="1" t="s">
        <v>0</v>
      </c>
      <c r="C1" s="3"/>
      <c r="D1" s="3"/>
      <c r="E1" s="3"/>
      <c r="F1" s="3"/>
      <c r="G1" s="162"/>
      <c r="H1" s="163"/>
      <c r="I1" s="3"/>
      <c r="J1" s="3"/>
      <c r="K1" s="3"/>
      <c r="L1" s="3"/>
      <c r="M1" s="447"/>
      <c r="N1" s="357"/>
      <c r="O1" s="357"/>
      <c r="Q1" s="358" t="s">
        <v>1</v>
      </c>
      <c r="S1" s="359"/>
      <c r="Y1" s="358" t="s">
        <v>1</v>
      </c>
    </row>
    <row r="2" spans="1:26" s="9" customFormat="1" ht="16.899999999999999" customHeight="1">
      <c r="A2" s="10" t="s">
        <v>1123</v>
      </c>
      <c r="B2" s="4"/>
      <c r="C2" s="4"/>
      <c r="D2" s="4"/>
      <c r="E2" s="4"/>
      <c r="F2" s="4"/>
      <c r="G2" s="162"/>
      <c r="H2" s="163"/>
      <c r="I2" s="4"/>
      <c r="J2" s="4"/>
      <c r="K2" s="4"/>
      <c r="L2" s="4"/>
      <c r="M2" s="357"/>
      <c r="N2" s="357"/>
      <c r="O2" s="357"/>
      <c r="Q2" s="360" t="s">
        <v>2</v>
      </c>
      <c r="S2" s="359"/>
      <c r="Y2" s="699"/>
    </row>
    <row r="3" spans="1:26" s="448" customFormat="1" ht="16.5" customHeight="1">
      <c r="A3" s="221" t="s">
        <v>476</v>
      </c>
      <c r="B3" s="221"/>
      <c r="G3" s="162"/>
      <c r="H3" s="163"/>
      <c r="M3" s="449"/>
      <c r="Q3" s="704"/>
      <c r="S3" s="449"/>
      <c r="Y3" s="704"/>
      <c r="Z3" s="450" t="s">
        <v>4</v>
      </c>
    </row>
    <row r="4" spans="1:26" ht="14.65" thickBot="1">
      <c r="A4" s="451"/>
      <c r="B4" s="356"/>
      <c r="C4" s="403"/>
      <c r="D4" s="403"/>
      <c r="E4" s="403"/>
      <c r="F4" s="403"/>
      <c r="G4" s="403"/>
      <c r="H4" s="404"/>
      <c r="I4" s="403"/>
      <c r="J4" s="403"/>
      <c r="K4" s="403"/>
      <c r="L4" s="403"/>
      <c r="M4" s="405"/>
      <c r="N4" s="403"/>
      <c r="O4" s="403"/>
      <c r="P4" s="403"/>
      <c r="Q4" s="406"/>
      <c r="R4" s="403"/>
      <c r="S4" s="405"/>
    </row>
    <row r="5" spans="1:26" s="160" customFormat="1" ht="65.45" customHeight="1" thickBot="1">
      <c r="A5" s="19" t="s">
        <v>5</v>
      </c>
      <c r="B5" s="20" t="s">
        <v>6</v>
      </c>
      <c r="C5" s="21" t="s">
        <v>7</v>
      </c>
      <c r="D5" s="22" t="s">
        <v>8</v>
      </c>
      <c r="E5" s="23" t="s">
        <v>9</v>
      </c>
      <c r="F5" s="23" t="s">
        <v>10</v>
      </c>
      <c r="G5" s="23" t="s">
        <v>11</v>
      </c>
      <c r="H5" s="23" t="s">
        <v>12</v>
      </c>
      <c r="I5" s="25" t="s">
        <v>135</v>
      </c>
      <c r="J5" s="25" t="s">
        <v>136</v>
      </c>
      <c r="K5" s="25" t="s">
        <v>15</v>
      </c>
      <c r="L5" s="25" t="s">
        <v>16</v>
      </c>
      <c r="M5" s="26"/>
      <c r="N5" s="156" t="s">
        <v>17</v>
      </c>
      <c r="O5" s="156" t="s">
        <v>18</v>
      </c>
      <c r="P5" s="156" t="s">
        <v>19</v>
      </c>
      <c r="Q5" s="156" t="s">
        <v>137</v>
      </c>
      <c r="R5" s="708" t="s">
        <v>19</v>
      </c>
      <c r="S5" s="709"/>
      <c r="T5" s="158" t="s">
        <v>138</v>
      </c>
      <c r="U5" s="158" t="s">
        <v>139</v>
      </c>
      <c r="V5" s="158" t="s">
        <v>23</v>
      </c>
      <c r="W5" s="158" t="s">
        <v>24</v>
      </c>
      <c r="X5" s="158" t="s">
        <v>25</v>
      </c>
      <c r="Y5" s="452" t="s">
        <v>26</v>
      </c>
    </row>
    <row r="6" spans="1:26">
      <c r="A6" s="451"/>
      <c r="B6" s="407"/>
      <c r="C6" s="49"/>
      <c r="D6" s="49"/>
      <c r="E6" s="49"/>
      <c r="F6" s="49"/>
      <c r="G6" s="49"/>
      <c r="H6" s="50"/>
      <c r="I6" s="49"/>
      <c r="J6" s="49"/>
      <c r="K6" s="49"/>
      <c r="L6" s="49"/>
      <c r="M6" s="46"/>
      <c r="N6" s="44"/>
      <c r="O6" s="44"/>
      <c r="P6" s="44"/>
      <c r="Q6" s="265"/>
      <c r="R6" s="44"/>
      <c r="S6" s="46"/>
      <c r="T6" s="346"/>
      <c r="U6" s="346"/>
      <c r="V6" s="346"/>
      <c r="W6" s="346"/>
      <c r="X6" s="346"/>
      <c r="Y6" s="346"/>
    </row>
    <row r="7" spans="1:26" s="354" customFormat="1">
      <c r="A7" s="406">
        <f>1+'PB Ministry'!A58</f>
        <v>219</v>
      </c>
      <c r="B7" s="409" t="s">
        <v>477</v>
      </c>
      <c r="C7" s="453"/>
      <c r="D7" s="453"/>
      <c r="E7" s="453"/>
      <c r="F7" s="453"/>
      <c r="G7" s="453"/>
      <c r="H7" s="339"/>
      <c r="I7" s="453"/>
      <c r="J7" s="453"/>
      <c r="K7" s="453"/>
      <c r="L7" s="453"/>
      <c r="M7" s="454"/>
      <c r="N7" s="455"/>
      <c r="O7" s="455"/>
      <c r="P7" s="455"/>
      <c r="Q7" s="456"/>
      <c r="R7" s="455"/>
      <c r="S7" s="454"/>
      <c r="T7" s="457"/>
      <c r="U7" s="457"/>
      <c r="V7" s="457"/>
      <c r="W7" s="457"/>
      <c r="X7" s="457"/>
      <c r="Y7" s="457"/>
    </row>
    <row r="8" spans="1:26">
      <c r="A8" s="451">
        <f>A7+1</f>
        <v>220</v>
      </c>
      <c r="B8" s="407"/>
      <c r="C8" s="49"/>
      <c r="D8" s="49"/>
      <c r="E8" s="49"/>
      <c r="F8" s="49"/>
      <c r="G8" s="49"/>
      <c r="H8" s="50"/>
      <c r="I8" s="49"/>
      <c r="J8" s="49"/>
      <c r="K8" s="49"/>
      <c r="L8" s="49"/>
      <c r="M8" s="46"/>
      <c r="N8" s="44"/>
      <c r="O8" s="44"/>
      <c r="P8" s="44"/>
      <c r="Q8" s="265"/>
      <c r="R8" s="44"/>
      <c r="S8" s="46"/>
      <c r="T8" s="346"/>
      <c r="U8" s="346"/>
      <c r="V8" s="346"/>
      <c r="W8" s="346"/>
      <c r="X8" s="346"/>
      <c r="Y8" s="346"/>
    </row>
    <row r="9" spans="1:26">
      <c r="A9" s="406">
        <f t="shared" ref="A9:A72" si="0">A8+1</f>
        <v>221</v>
      </c>
      <c r="B9" s="409" t="s">
        <v>478</v>
      </c>
      <c r="C9" s="49">
        <v>545570</v>
      </c>
      <c r="D9" s="49"/>
      <c r="E9" s="49"/>
      <c r="F9" s="49"/>
      <c r="G9" s="49"/>
      <c r="H9" s="50"/>
      <c r="I9" s="49"/>
      <c r="J9" s="49"/>
      <c r="K9" s="49"/>
      <c r="L9" s="49">
        <f>E9+G9+K9</f>
        <v>0</v>
      </c>
      <c r="M9" s="46"/>
      <c r="N9" s="44"/>
      <c r="O9" s="44"/>
      <c r="P9" s="44"/>
      <c r="Q9" s="250"/>
      <c r="R9" s="44"/>
      <c r="S9" s="46"/>
      <c r="T9" s="346"/>
      <c r="U9" s="346"/>
      <c r="V9" s="346"/>
      <c r="W9" s="346"/>
      <c r="X9" s="346"/>
      <c r="Y9" s="346"/>
    </row>
    <row r="10" spans="1:26">
      <c r="A10" s="451">
        <f t="shared" si="0"/>
        <v>222</v>
      </c>
      <c r="B10" s="407" t="s">
        <v>479</v>
      </c>
      <c r="C10" s="49"/>
      <c r="D10" s="49">
        <v>0</v>
      </c>
      <c r="E10" s="49"/>
      <c r="F10" s="49"/>
      <c r="G10" s="49"/>
      <c r="H10" s="50"/>
      <c r="I10" s="49"/>
      <c r="J10" s="49"/>
      <c r="K10" s="49"/>
      <c r="L10" s="49">
        <f>E10+G10+K10</f>
        <v>0</v>
      </c>
      <c r="M10" s="46"/>
      <c r="N10" s="44"/>
      <c r="O10" s="44"/>
      <c r="P10" s="44"/>
      <c r="Q10" s="250"/>
      <c r="R10" s="44"/>
      <c r="S10" s="46"/>
      <c r="T10" s="458"/>
      <c r="U10" s="458"/>
      <c r="V10" s="458"/>
      <c r="W10" s="53">
        <f t="shared" ref="W10:W21" si="1">U10+V10</f>
        <v>0</v>
      </c>
      <c r="X10" s="53">
        <f t="shared" ref="X10:X21" si="2">T10+W10</f>
        <v>0</v>
      </c>
      <c r="Y10" s="53"/>
    </row>
    <row r="11" spans="1:26">
      <c r="A11" s="451">
        <f t="shared" si="0"/>
        <v>223</v>
      </c>
      <c r="B11" s="407" t="s">
        <v>179</v>
      </c>
      <c r="C11" s="49"/>
      <c r="D11" s="49">
        <v>125000</v>
      </c>
      <c r="E11" s="49"/>
      <c r="F11" s="49"/>
      <c r="G11" s="49"/>
      <c r="H11" s="50"/>
      <c r="I11" s="49">
        <v>125000</v>
      </c>
      <c r="J11" s="49"/>
      <c r="K11" s="49">
        <f>I11</f>
        <v>125000</v>
      </c>
      <c r="L11" s="49"/>
      <c r="M11" s="46"/>
      <c r="N11" s="44">
        <v>125000</v>
      </c>
      <c r="O11" s="44"/>
      <c r="P11" s="44">
        <f t="shared" ref="P11:P73" si="3">N11+O11</f>
        <v>125000</v>
      </c>
      <c r="Q11" s="250"/>
      <c r="R11" s="44">
        <f>P11</f>
        <v>125000</v>
      </c>
      <c r="S11" s="46"/>
      <c r="T11" s="458">
        <v>0</v>
      </c>
      <c r="U11" s="458">
        <v>125000</v>
      </c>
      <c r="V11" s="458"/>
      <c r="W11" s="53">
        <f t="shared" si="1"/>
        <v>125000</v>
      </c>
      <c r="X11" s="53">
        <f t="shared" si="2"/>
        <v>125000</v>
      </c>
      <c r="Y11" s="53"/>
    </row>
    <row r="12" spans="1:26" ht="25.5" customHeight="1">
      <c r="A12" s="451">
        <f t="shared" si="0"/>
        <v>224</v>
      </c>
      <c r="B12" s="407" t="s">
        <v>480</v>
      </c>
      <c r="C12" s="49"/>
      <c r="D12" s="49">
        <v>75000</v>
      </c>
      <c r="E12" s="49"/>
      <c r="F12" s="49">
        <v>49870</v>
      </c>
      <c r="G12" s="49">
        <v>10000</v>
      </c>
      <c r="H12" s="425" t="s">
        <v>481</v>
      </c>
      <c r="I12" s="49"/>
      <c r="J12" s="49">
        <v>59700</v>
      </c>
      <c r="K12" s="49">
        <f>J12</f>
        <v>59700</v>
      </c>
      <c r="L12" s="49"/>
      <c r="M12" s="46"/>
      <c r="N12" s="44"/>
      <c r="O12" s="44">
        <v>16900</v>
      </c>
      <c r="P12" s="44">
        <f t="shared" si="3"/>
        <v>16900</v>
      </c>
      <c r="Q12" s="250"/>
      <c r="R12" s="44">
        <f t="shared" ref="R12:R75" si="4">P12</f>
        <v>16900</v>
      </c>
      <c r="S12" s="46"/>
      <c r="T12" s="458">
        <v>16900</v>
      </c>
      <c r="U12" s="458"/>
      <c r="V12" s="458">
        <v>16900</v>
      </c>
      <c r="W12" s="53">
        <f t="shared" si="1"/>
        <v>16900</v>
      </c>
      <c r="X12" s="53">
        <f t="shared" si="2"/>
        <v>33800</v>
      </c>
      <c r="Y12" s="53"/>
    </row>
    <row r="13" spans="1:26">
      <c r="A13" s="451">
        <f t="shared" si="0"/>
        <v>225</v>
      </c>
      <c r="B13" s="407"/>
      <c r="C13" s="49"/>
      <c r="D13" s="49"/>
      <c r="E13" s="49"/>
      <c r="F13" s="49"/>
      <c r="G13" s="49"/>
      <c r="H13" s="50"/>
      <c r="I13" s="49"/>
      <c r="J13" s="49"/>
      <c r="K13" s="49">
        <f t="shared" ref="K13:K15" si="5">J13</f>
        <v>0</v>
      </c>
      <c r="L13" s="49"/>
      <c r="M13" s="46"/>
      <c r="N13" s="44"/>
      <c r="O13" s="44"/>
      <c r="P13" s="44">
        <f t="shared" si="3"/>
        <v>0</v>
      </c>
      <c r="Q13" s="250"/>
      <c r="R13" s="44">
        <f t="shared" si="4"/>
        <v>0</v>
      </c>
      <c r="S13" s="46"/>
      <c r="T13" s="458"/>
      <c r="U13" s="458"/>
      <c r="V13" s="458"/>
      <c r="W13" s="53">
        <f t="shared" si="1"/>
        <v>0</v>
      </c>
      <c r="X13" s="53">
        <f t="shared" si="2"/>
        <v>0</v>
      </c>
      <c r="Y13" s="53"/>
    </row>
    <row r="14" spans="1:26">
      <c r="A14" s="451">
        <f t="shared" si="0"/>
        <v>226</v>
      </c>
      <c r="B14" s="407" t="s">
        <v>482</v>
      </c>
      <c r="C14" s="49"/>
      <c r="D14" s="49">
        <v>9000</v>
      </c>
      <c r="E14" s="49"/>
      <c r="F14" s="49">
        <v>3000</v>
      </c>
      <c r="G14" s="49">
        <v>0</v>
      </c>
      <c r="H14" s="50"/>
      <c r="I14" s="49"/>
      <c r="J14" s="49">
        <v>3000</v>
      </c>
      <c r="K14" s="49">
        <f t="shared" si="5"/>
        <v>3000</v>
      </c>
      <c r="L14" s="49"/>
      <c r="M14" s="46"/>
      <c r="N14" s="44"/>
      <c r="O14" s="44">
        <v>2000</v>
      </c>
      <c r="P14" s="44">
        <f t="shared" si="3"/>
        <v>2000</v>
      </c>
      <c r="Q14" s="250"/>
      <c r="R14" s="44">
        <f t="shared" si="4"/>
        <v>2000</v>
      </c>
      <c r="S14" s="46"/>
      <c r="T14" s="458">
        <v>2000</v>
      </c>
      <c r="U14" s="458"/>
      <c r="V14" s="458">
        <v>2100</v>
      </c>
      <c r="W14" s="53">
        <f t="shared" si="1"/>
        <v>2100</v>
      </c>
      <c r="X14" s="53">
        <f t="shared" si="2"/>
        <v>4100</v>
      </c>
      <c r="Y14" s="53"/>
    </row>
    <row r="15" spans="1:26">
      <c r="A15" s="451">
        <f t="shared" si="0"/>
        <v>227</v>
      </c>
      <c r="B15" s="407" t="s">
        <v>483</v>
      </c>
      <c r="C15" s="49"/>
      <c r="D15" s="49">
        <v>24570</v>
      </c>
      <c r="E15" s="49"/>
      <c r="F15" s="49">
        <v>8200</v>
      </c>
      <c r="G15" s="49">
        <v>8200</v>
      </c>
      <c r="H15" s="50"/>
      <c r="I15" s="49"/>
      <c r="J15" s="49">
        <v>8200</v>
      </c>
      <c r="K15" s="49">
        <f t="shared" si="5"/>
        <v>8200</v>
      </c>
      <c r="L15" s="49"/>
      <c r="M15" s="46"/>
      <c r="N15" s="44"/>
      <c r="O15" s="44">
        <v>8200</v>
      </c>
      <c r="P15" s="44">
        <f t="shared" si="3"/>
        <v>8200</v>
      </c>
      <c r="Q15" s="250"/>
      <c r="R15" s="44">
        <f t="shared" si="4"/>
        <v>8200</v>
      </c>
      <c r="S15" s="46"/>
      <c r="T15" s="458">
        <v>8200</v>
      </c>
      <c r="U15" s="458"/>
      <c r="V15" s="458">
        <v>8200</v>
      </c>
      <c r="W15" s="53">
        <f t="shared" si="1"/>
        <v>8200</v>
      </c>
      <c r="X15" s="53">
        <f t="shared" si="2"/>
        <v>16400</v>
      </c>
      <c r="Y15" s="53"/>
    </row>
    <row r="16" spans="1:26">
      <c r="A16" s="451">
        <f t="shared" si="0"/>
        <v>228</v>
      </c>
      <c r="B16" s="407" t="s">
        <v>484</v>
      </c>
      <c r="C16" s="49"/>
      <c r="D16" s="49"/>
      <c r="E16" s="49"/>
      <c r="F16" s="49"/>
      <c r="G16" s="49"/>
      <c r="H16" s="50"/>
      <c r="I16" s="49"/>
      <c r="J16" s="49"/>
      <c r="K16" s="49"/>
      <c r="L16" s="49"/>
      <c r="M16" s="46"/>
      <c r="N16" s="44"/>
      <c r="O16" s="44">
        <v>1000</v>
      </c>
      <c r="P16" s="44">
        <f t="shared" si="3"/>
        <v>1000</v>
      </c>
      <c r="Q16" s="250"/>
      <c r="R16" s="44">
        <f t="shared" si="4"/>
        <v>1000</v>
      </c>
      <c r="S16" s="46"/>
      <c r="T16" s="458">
        <v>1050</v>
      </c>
      <c r="U16" s="458"/>
      <c r="V16" s="458">
        <v>1100</v>
      </c>
      <c r="W16" s="53">
        <f t="shared" si="1"/>
        <v>1100</v>
      </c>
      <c r="X16" s="53">
        <f t="shared" si="2"/>
        <v>2150</v>
      </c>
      <c r="Y16" s="53"/>
    </row>
    <row r="17" spans="1:25">
      <c r="A17" s="451">
        <f t="shared" si="0"/>
        <v>229</v>
      </c>
      <c r="B17" s="407" t="s">
        <v>428</v>
      </c>
      <c r="C17" s="49"/>
      <c r="D17" s="49"/>
      <c r="E17" s="49"/>
      <c r="F17" s="49"/>
      <c r="G17" s="49"/>
      <c r="H17" s="50"/>
      <c r="I17" s="49"/>
      <c r="J17" s="49"/>
      <c r="K17" s="49"/>
      <c r="L17" s="49"/>
      <c r="M17" s="46"/>
      <c r="N17" s="44"/>
      <c r="O17" s="44">
        <v>1000</v>
      </c>
      <c r="P17" s="44">
        <f t="shared" si="3"/>
        <v>1000</v>
      </c>
      <c r="Q17" s="250"/>
      <c r="R17" s="44">
        <f t="shared" si="4"/>
        <v>1000</v>
      </c>
      <c r="S17" s="46"/>
      <c r="T17" s="458">
        <v>1050</v>
      </c>
      <c r="U17" s="458"/>
      <c r="V17" s="458">
        <v>1100</v>
      </c>
      <c r="W17" s="53">
        <f t="shared" si="1"/>
        <v>1100</v>
      </c>
      <c r="X17" s="53">
        <f t="shared" si="2"/>
        <v>2150</v>
      </c>
      <c r="Y17" s="53"/>
    </row>
    <row r="18" spans="1:25">
      <c r="A18" s="451">
        <f t="shared" si="0"/>
        <v>230</v>
      </c>
      <c r="B18" s="407" t="s">
        <v>485</v>
      </c>
      <c r="C18" s="49"/>
      <c r="D18" s="49"/>
      <c r="E18" s="49"/>
      <c r="F18" s="49"/>
      <c r="G18" s="49"/>
      <c r="H18" s="50"/>
      <c r="I18" s="49"/>
      <c r="J18" s="49"/>
      <c r="K18" s="49"/>
      <c r="L18" s="49"/>
      <c r="M18" s="46"/>
      <c r="N18" s="44"/>
      <c r="O18" s="44">
        <v>500</v>
      </c>
      <c r="P18" s="44">
        <f t="shared" si="3"/>
        <v>500</v>
      </c>
      <c r="Q18" s="250"/>
      <c r="R18" s="44">
        <f t="shared" si="4"/>
        <v>500</v>
      </c>
      <c r="S18" s="46"/>
      <c r="T18" s="458">
        <v>500</v>
      </c>
      <c r="U18" s="458"/>
      <c r="V18" s="458">
        <v>500</v>
      </c>
      <c r="W18" s="53">
        <f t="shared" si="1"/>
        <v>500</v>
      </c>
      <c r="X18" s="53">
        <f t="shared" si="2"/>
        <v>1000</v>
      </c>
      <c r="Y18" s="53"/>
    </row>
    <row r="19" spans="1:25">
      <c r="A19" s="451" t="s">
        <v>486</v>
      </c>
      <c r="B19" s="407" t="s">
        <v>487</v>
      </c>
      <c r="C19" s="49"/>
      <c r="D19" s="49"/>
      <c r="E19" s="49"/>
      <c r="F19" s="49"/>
      <c r="G19" s="49"/>
      <c r="H19" s="50"/>
      <c r="I19" s="49"/>
      <c r="J19" s="49"/>
      <c r="K19" s="49"/>
      <c r="L19" s="49"/>
      <c r="M19" s="46"/>
      <c r="N19" s="44"/>
      <c r="O19" s="44">
        <v>1000</v>
      </c>
      <c r="P19" s="44">
        <f t="shared" si="3"/>
        <v>1000</v>
      </c>
      <c r="Q19" s="250"/>
      <c r="R19" s="44">
        <f t="shared" si="4"/>
        <v>1000</v>
      </c>
      <c r="S19" s="46"/>
      <c r="T19" s="458">
        <v>1000</v>
      </c>
      <c r="U19" s="458"/>
      <c r="V19" s="458">
        <v>1000</v>
      </c>
      <c r="W19" s="53">
        <f t="shared" si="1"/>
        <v>1000</v>
      </c>
      <c r="X19" s="53">
        <f t="shared" si="2"/>
        <v>2000</v>
      </c>
      <c r="Y19" s="53"/>
    </row>
    <row r="20" spans="1:25" ht="28.5">
      <c r="A20" s="451" t="s">
        <v>488</v>
      </c>
      <c r="B20" s="407" t="s">
        <v>489</v>
      </c>
      <c r="C20" s="49"/>
      <c r="D20" s="49"/>
      <c r="E20" s="49"/>
      <c r="F20" s="49"/>
      <c r="G20" s="49"/>
      <c r="H20" s="50"/>
      <c r="I20" s="49"/>
      <c r="J20" s="49"/>
      <c r="K20" s="49"/>
      <c r="L20" s="49"/>
      <c r="M20" s="46"/>
      <c r="N20" s="44"/>
      <c r="O20" s="44">
        <v>4500</v>
      </c>
      <c r="P20" s="44">
        <f t="shared" si="3"/>
        <v>4500</v>
      </c>
      <c r="Q20" s="250"/>
      <c r="R20" s="44">
        <f t="shared" si="4"/>
        <v>4500</v>
      </c>
      <c r="S20" s="46"/>
      <c r="T20" s="458">
        <v>500</v>
      </c>
      <c r="U20" s="458"/>
      <c r="V20" s="458">
        <v>500</v>
      </c>
      <c r="W20" s="53">
        <f t="shared" si="1"/>
        <v>500</v>
      </c>
      <c r="X20" s="53">
        <f t="shared" si="2"/>
        <v>1000</v>
      </c>
      <c r="Y20" s="53"/>
    </row>
    <row r="21" spans="1:25">
      <c r="A21" s="451"/>
      <c r="B21" s="407" t="s">
        <v>153</v>
      </c>
      <c r="C21" s="49"/>
      <c r="D21" s="49"/>
      <c r="E21" s="49"/>
      <c r="F21" s="49"/>
      <c r="G21" s="49"/>
      <c r="H21" s="50"/>
      <c r="I21" s="49"/>
      <c r="J21" s="49"/>
      <c r="K21" s="49"/>
      <c r="L21" s="49"/>
      <c r="M21" s="46"/>
      <c r="N21" s="44"/>
      <c r="O21" s="44"/>
      <c r="P21" s="44">
        <f t="shared" si="3"/>
        <v>0</v>
      </c>
      <c r="Q21" s="250"/>
      <c r="R21" s="44">
        <f t="shared" si="4"/>
        <v>0</v>
      </c>
      <c r="S21" s="46"/>
      <c r="T21" s="458">
        <v>0</v>
      </c>
      <c r="U21" s="458"/>
      <c r="V21" s="458"/>
      <c r="W21" s="53">
        <f t="shared" si="1"/>
        <v>0</v>
      </c>
      <c r="X21" s="53">
        <f t="shared" si="2"/>
        <v>0</v>
      </c>
      <c r="Y21" s="459"/>
    </row>
    <row r="22" spans="1:25" s="354" customFormat="1">
      <c r="A22" s="460">
        <v>232</v>
      </c>
      <c r="B22" s="461" t="s">
        <v>490</v>
      </c>
      <c r="C22" s="309">
        <f>SUM(C9:C21)</f>
        <v>545570</v>
      </c>
      <c r="D22" s="309">
        <f t="shared" ref="D22:H22" si="6">SUM(D11:D21)</f>
        <v>233570</v>
      </c>
      <c r="E22" s="309">
        <f t="shared" si="6"/>
        <v>0</v>
      </c>
      <c r="F22" s="309">
        <f t="shared" si="6"/>
        <v>61070</v>
      </c>
      <c r="G22" s="309">
        <f t="shared" si="6"/>
        <v>18200</v>
      </c>
      <c r="H22" s="309">
        <f t="shared" si="6"/>
        <v>0</v>
      </c>
      <c r="I22" s="309">
        <f>SUM(I11:I21)</f>
        <v>125000</v>
      </c>
      <c r="J22" s="309">
        <f t="shared" ref="J22:K22" si="7">SUM(J10:J21)</f>
        <v>70900</v>
      </c>
      <c r="K22" s="309">
        <f t="shared" si="7"/>
        <v>195900</v>
      </c>
      <c r="L22" s="309">
        <f>E22+G22+K22</f>
        <v>214100</v>
      </c>
      <c r="M22" s="311"/>
      <c r="N22" s="312">
        <f>SUM(N11:N21)</f>
        <v>125000</v>
      </c>
      <c r="O22" s="312">
        <f t="shared" ref="O22:P22" si="8">SUM(O11:O21)</f>
        <v>35100</v>
      </c>
      <c r="P22" s="312">
        <f t="shared" si="8"/>
        <v>160100</v>
      </c>
      <c r="Q22" s="462"/>
      <c r="R22" s="312">
        <f t="shared" si="4"/>
        <v>160100</v>
      </c>
      <c r="S22" s="311"/>
      <c r="T22" s="314">
        <f t="shared" ref="T22:Y22" si="9">SUM(T11:T21)</f>
        <v>31200</v>
      </c>
      <c r="U22" s="314">
        <f t="shared" si="9"/>
        <v>125000</v>
      </c>
      <c r="V22" s="314">
        <f t="shared" si="9"/>
        <v>31400</v>
      </c>
      <c r="W22" s="314">
        <f t="shared" si="9"/>
        <v>156400</v>
      </c>
      <c r="X22" s="314">
        <f t="shared" si="9"/>
        <v>187600</v>
      </c>
      <c r="Y22" s="314">
        <f t="shared" si="9"/>
        <v>0</v>
      </c>
    </row>
    <row r="23" spans="1:25">
      <c r="A23" s="451">
        <f t="shared" si="0"/>
        <v>233</v>
      </c>
      <c r="B23" s="407"/>
      <c r="C23" s="49"/>
      <c r="D23" s="49"/>
      <c r="E23" s="49"/>
      <c r="F23" s="49"/>
      <c r="G23" s="49"/>
      <c r="H23" s="50"/>
      <c r="I23" s="49"/>
      <c r="J23" s="49"/>
      <c r="K23" s="49"/>
      <c r="L23" s="49">
        <f>E23+G23+K23</f>
        <v>0</v>
      </c>
      <c r="M23" s="46"/>
      <c r="N23" s="44"/>
      <c r="O23" s="44"/>
      <c r="P23" s="44">
        <f t="shared" si="3"/>
        <v>0</v>
      </c>
      <c r="Q23" s="250"/>
      <c r="R23" s="44">
        <f t="shared" si="4"/>
        <v>0</v>
      </c>
      <c r="S23" s="46"/>
      <c r="T23" s="346"/>
      <c r="U23" s="346"/>
      <c r="V23" s="346"/>
      <c r="W23" s="346"/>
      <c r="X23" s="346"/>
      <c r="Y23" s="346"/>
    </row>
    <row r="24" spans="1:25" s="354" customFormat="1" ht="46.15" customHeight="1">
      <c r="A24" s="406">
        <f t="shared" si="0"/>
        <v>234</v>
      </c>
      <c r="B24" s="409" t="s">
        <v>491</v>
      </c>
      <c r="C24" s="453"/>
      <c r="D24" s="453"/>
      <c r="E24" s="453"/>
      <c r="F24" s="453"/>
      <c r="G24" s="453"/>
      <c r="H24" s="50"/>
      <c r="I24" s="453"/>
      <c r="J24" s="453"/>
      <c r="K24" s="453"/>
      <c r="L24" s="453">
        <f>E24+G24+K24</f>
        <v>0</v>
      </c>
      <c r="M24" s="454"/>
      <c r="N24" s="455"/>
      <c r="O24" s="455"/>
      <c r="P24" s="455">
        <f t="shared" si="3"/>
        <v>0</v>
      </c>
      <c r="Q24" s="250"/>
      <c r="R24" s="455">
        <f t="shared" si="4"/>
        <v>0</v>
      </c>
      <c r="S24" s="454"/>
      <c r="T24" s="457"/>
      <c r="U24" s="457"/>
      <c r="V24" s="457"/>
      <c r="W24" s="457"/>
      <c r="X24" s="457"/>
      <c r="Y24" s="457"/>
    </row>
    <row r="25" spans="1:25">
      <c r="A25" s="451">
        <f t="shared" si="0"/>
        <v>235</v>
      </c>
      <c r="B25" s="407" t="s">
        <v>492</v>
      </c>
      <c r="C25" s="49"/>
      <c r="D25" s="49">
        <v>90000</v>
      </c>
      <c r="E25" s="49"/>
      <c r="F25" s="49">
        <v>10000</v>
      </c>
      <c r="G25" s="49">
        <v>5000</v>
      </c>
      <c r="H25" s="50"/>
      <c r="I25" s="49"/>
      <c r="J25" s="49">
        <v>10000</v>
      </c>
      <c r="K25" s="49">
        <f>J25</f>
        <v>10000</v>
      </c>
      <c r="L25" s="49"/>
      <c r="M25" s="46"/>
      <c r="N25" s="44"/>
      <c r="O25" s="44">
        <v>10000</v>
      </c>
      <c r="P25" s="44">
        <f t="shared" si="3"/>
        <v>10000</v>
      </c>
      <c r="Q25" s="250"/>
      <c r="R25" s="44">
        <f t="shared" si="4"/>
        <v>10000</v>
      </c>
      <c r="S25" s="46"/>
      <c r="T25" s="458">
        <v>10000</v>
      </c>
      <c r="U25" s="458"/>
      <c r="V25" s="458">
        <v>10000</v>
      </c>
      <c r="W25" s="53">
        <f t="shared" ref="W25:W34" si="10">U25+V25</f>
        <v>10000</v>
      </c>
      <c r="X25" s="53">
        <f t="shared" ref="X25:X34" si="11">T25+W25</f>
        <v>20000</v>
      </c>
      <c r="Y25" s="346"/>
    </row>
    <row r="26" spans="1:25">
      <c r="A26" s="451">
        <f t="shared" si="0"/>
        <v>236</v>
      </c>
      <c r="B26" s="407" t="s">
        <v>179</v>
      </c>
      <c r="C26" s="49"/>
      <c r="D26" s="49">
        <v>8000</v>
      </c>
      <c r="E26" s="49"/>
      <c r="F26" s="49"/>
      <c r="G26" s="49"/>
      <c r="H26" s="50"/>
      <c r="I26" s="49">
        <v>35500</v>
      </c>
      <c r="J26" s="49"/>
      <c r="K26" s="49">
        <v>35500</v>
      </c>
      <c r="L26" s="49"/>
      <c r="M26" s="46"/>
      <c r="N26" s="44">
        <v>35500</v>
      </c>
      <c r="O26" s="44"/>
      <c r="P26" s="44">
        <f t="shared" si="3"/>
        <v>35500</v>
      </c>
      <c r="Q26" s="250"/>
      <c r="R26" s="44">
        <f t="shared" si="4"/>
        <v>35500</v>
      </c>
      <c r="S26" s="46"/>
      <c r="T26" s="458"/>
      <c r="U26" s="458">
        <v>35500</v>
      </c>
      <c r="V26" s="458"/>
      <c r="W26" s="53">
        <f t="shared" si="10"/>
        <v>35500</v>
      </c>
      <c r="X26" s="53">
        <f t="shared" si="11"/>
        <v>35500</v>
      </c>
      <c r="Y26" s="346"/>
    </row>
    <row r="27" spans="1:25">
      <c r="A27" s="463">
        <f>A26+1</f>
        <v>237</v>
      </c>
      <c r="B27" s="464" t="s">
        <v>480</v>
      </c>
      <c r="C27" s="49"/>
      <c r="D27" s="49">
        <v>30000</v>
      </c>
      <c r="E27" s="49"/>
      <c r="F27" s="49">
        <v>20000</v>
      </c>
      <c r="G27" s="49">
        <v>20000</v>
      </c>
      <c r="H27" s="50"/>
      <c r="I27" s="49"/>
      <c r="J27" s="49">
        <v>20000</v>
      </c>
      <c r="K27" s="49">
        <f>J27</f>
        <v>20000</v>
      </c>
      <c r="L27" s="49"/>
      <c r="M27" s="46"/>
      <c r="N27" s="44"/>
      <c r="O27" s="44">
        <v>20000</v>
      </c>
      <c r="P27" s="44">
        <f t="shared" si="3"/>
        <v>20000</v>
      </c>
      <c r="Q27" s="250"/>
      <c r="R27" s="44">
        <f t="shared" si="4"/>
        <v>20000</v>
      </c>
      <c r="S27" s="46"/>
      <c r="T27" s="458">
        <v>20000</v>
      </c>
      <c r="U27" s="458"/>
      <c r="V27" s="458">
        <v>20000</v>
      </c>
      <c r="W27" s="53">
        <f t="shared" si="10"/>
        <v>20000</v>
      </c>
      <c r="X27" s="53">
        <f t="shared" si="11"/>
        <v>40000</v>
      </c>
      <c r="Y27" s="346"/>
    </row>
    <row r="28" spans="1:25">
      <c r="A28" s="463">
        <f t="shared" si="0"/>
        <v>238</v>
      </c>
      <c r="B28" s="464" t="s">
        <v>493</v>
      </c>
      <c r="C28" s="49"/>
      <c r="D28" s="49">
        <v>23000</v>
      </c>
      <c r="E28" s="49"/>
      <c r="F28" s="49">
        <v>5000</v>
      </c>
      <c r="G28" s="49">
        <v>5000</v>
      </c>
      <c r="H28" s="50"/>
      <c r="I28" s="49"/>
      <c r="J28" s="49">
        <v>5000</v>
      </c>
      <c r="K28" s="49">
        <f t="shared" ref="K28:K34" si="12">J28</f>
        <v>5000</v>
      </c>
      <c r="L28" s="49"/>
      <c r="M28" s="46"/>
      <c r="N28" s="44"/>
      <c r="O28" s="44">
        <v>5000</v>
      </c>
      <c r="P28" s="44">
        <f t="shared" si="3"/>
        <v>5000</v>
      </c>
      <c r="Q28" s="250"/>
      <c r="R28" s="44">
        <f t="shared" si="4"/>
        <v>5000</v>
      </c>
      <c r="S28" s="46"/>
      <c r="T28" s="458">
        <v>5000</v>
      </c>
      <c r="U28" s="458"/>
      <c r="V28" s="458">
        <v>5000</v>
      </c>
      <c r="W28" s="53">
        <f t="shared" si="10"/>
        <v>5000</v>
      </c>
      <c r="X28" s="53">
        <f t="shared" si="11"/>
        <v>10000</v>
      </c>
      <c r="Y28" s="346"/>
    </row>
    <row r="29" spans="1:25" ht="18" customHeight="1">
      <c r="A29" s="463">
        <f t="shared" si="0"/>
        <v>239</v>
      </c>
      <c r="B29" s="464" t="s">
        <v>428</v>
      </c>
      <c r="C29" s="49"/>
      <c r="D29" s="49">
        <v>26000</v>
      </c>
      <c r="E29" s="49"/>
      <c r="F29" s="49">
        <v>7000</v>
      </c>
      <c r="G29" s="49">
        <v>2000</v>
      </c>
      <c r="H29" s="50" t="s">
        <v>494</v>
      </c>
      <c r="I29" s="49"/>
      <c r="J29" s="49">
        <v>7000</v>
      </c>
      <c r="K29" s="49">
        <f t="shared" si="12"/>
        <v>7000</v>
      </c>
      <c r="L29" s="49"/>
      <c r="M29" s="46"/>
      <c r="N29" s="44"/>
      <c r="O29" s="44">
        <f>7000*0.9</f>
        <v>6300</v>
      </c>
      <c r="P29" s="44">
        <f t="shared" si="3"/>
        <v>6300</v>
      </c>
      <c r="Q29" s="250" t="s">
        <v>495</v>
      </c>
      <c r="R29" s="44">
        <f t="shared" si="4"/>
        <v>6300</v>
      </c>
      <c r="S29" s="46"/>
      <c r="T29" s="458">
        <v>6300</v>
      </c>
      <c r="U29" s="458"/>
      <c r="V29" s="458">
        <v>6300</v>
      </c>
      <c r="W29" s="53">
        <f t="shared" si="10"/>
        <v>6300</v>
      </c>
      <c r="X29" s="53">
        <f t="shared" si="11"/>
        <v>12600</v>
      </c>
      <c r="Y29" s="346"/>
    </row>
    <row r="30" spans="1:25">
      <c r="A30" s="463">
        <f t="shared" si="0"/>
        <v>240</v>
      </c>
      <c r="B30" s="464" t="s">
        <v>482</v>
      </c>
      <c r="C30" s="49"/>
      <c r="D30" s="49">
        <v>9000</v>
      </c>
      <c r="E30" s="49"/>
      <c r="F30" s="49">
        <v>3000</v>
      </c>
      <c r="G30" s="49">
        <v>0</v>
      </c>
      <c r="H30" s="50"/>
      <c r="I30" s="49"/>
      <c r="J30" s="49">
        <v>3000</v>
      </c>
      <c r="K30" s="49">
        <f t="shared" si="12"/>
        <v>3000</v>
      </c>
      <c r="L30" s="49"/>
      <c r="M30" s="46"/>
      <c r="N30" s="44"/>
      <c r="O30" s="44">
        <v>3000</v>
      </c>
      <c r="P30" s="44">
        <f t="shared" si="3"/>
        <v>3000</v>
      </c>
      <c r="Q30" s="250"/>
      <c r="R30" s="44">
        <f t="shared" si="4"/>
        <v>3000</v>
      </c>
      <c r="S30" s="46"/>
      <c r="T30" s="458">
        <v>3000</v>
      </c>
      <c r="U30" s="458"/>
      <c r="V30" s="458">
        <v>3000</v>
      </c>
      <c r="W30" s="53">
        <f t="shared" si="10"/>
        <v>3000</v>
      </c>
      <c r="X30" s="53">
        <f t="shared" si="11"/>
        <v>6000</v>
      </c>
      <c r="Y30" s="346"/>
    </row>
    <row r="31" spans="1:25">
      <c r="A31" s="463">
        <f t="shared" si="0"/>
        <v>241</v>
      </c>
      <c r="B31" s="464" t="s">
        <v>484</v>
      </c>
      <c r="C31" s="49"/>
      <c r="D31" s="49">
        <v>6000</v>
      </c>
      <c r="E31" s="49"/>
      <c r="F31" s="49">
        <v>2000</v>
      </c>
      <c r="G31" s="49">
        <v>2000</v>
      </c>
      <c r="H31" s="50"/>
      <c r="I31" s="49"/>
      <c r="J31" s="49">
        <v>2000</v>
      </c>
      <c r="K31" s="49">
        <f t="shared" si="12"/>
        <v>2000</v>
      </c>
      <c r="L31" s="49"/>
      <c r="M31" s="46"/>
      <c r="N31" s="44"/>
      <c r="O31" s="44">
        <v>2000</v>
      </c>
      <c r="P31" s="44">
        <f t="shared" si="3"/>
        <v>2000</v>
      </c>
      <c r="Q31" s="250"/>
      <c r="R31" s="44">
        <f t="shared" si="4"/>
        <v>2000</v>
      </c>
      <c r="S31" s="46"/>
      <c r="T31" s="458">
        <v>2000</v>
      </c>
      <c r="U31" s="458"/>
      <c r="V31" s="458">
        <v>2000</v>
      </c>
      <c r="W31" s="53">
        <f t="shared" si="10"/>
        <v>2000</v>
      </c>
      <c r="X31" s="53">
        <f t="shared" si="11"/>
        <v>4000</v>
      </c>
      <c r="Y31" s="346"/>
    </row>
    <row r="32" spans="1:25">
      <c r="A32" s="463">
        <f t="shared" si="0"/>
        <v>242</v>
      </c>
      <c r="B32" s="464" t="s">
        <v>496</v>
      </c>
      <c r="C32" s="49"/>
      <c r="D32" s="49">
        <v>2400</v>
      </c>
      <c r="E32" s="49"/>
      <c r="F32" s="49">
        <v>700</v>
      </c>
      <c r="G32" s="49">
        <v>700</v>
      </c>
      <c r="H32" s="50"/>
      <c r="I32" s="49"/>
      <c r="J32" s="49">
        <v>1000</v>
      </c>
      <c r="K32" s="49">
        <f t="shared" si="12"/>
        <v>1000</v>
      </c>
      <c r="L32" s="49"/>
      <c r="M32" s="46"/>
      <c r="N32" s="44"/>
      <c r="O32" s="44">
        <v>1000</v>
      </c>
      <c r="P32" s="44">
        <f t="shared" si="3"/>
        <v>1000</v>
      </c>
      <c r="Q32" s="250"/>
      <c r="R32" s="44">
        <f t="shared" si="4"/>
        <v>1000</v>
      </c>
      <c r="S32" s="46"/>
      <c r="T32" s="458">
        <v>1000</v>
      </c>
      <c r="U32" s="458"/>
      <c r="V32" s="458">
        <v>1000</v>
      </c>
      <c r="W32" s="53">
        <f t="shared" si="10"/>
        <v>1000</v>
      </c>
      <c r="X32" s="53">
        <f t="shared" si="11"/>
        <v>2000</v>
      </c>
      <c r="Y32" s="346"/>
    </row>
    <row r="33" spans="1:25">
      <c r="A33" s="463">
        <f t="shared" si="0"/>
        <v>243</v>
      </c>
      <c r="B33" s="464" t="s">
        <v>497</v>
      </c>
      <c r="C33" s="49"/>
      <c r="D33" s="49">
        <v>10500</v>
      </c>
      <c r="E33" s="49"/>
      <c r="F33" s="49">
        <v>3500</v>
      </c>
      <c r="G33" s="49">
        <v>3500</v>
      </c>
      <c r="H33" s="50"/>
      <c r="I33" s="49"/>
      <c r="J33" s="49">
        <v>3500</v>
      </c>
      <c r="K33" s="49">
        <f t="shared" si="12"/>
        <v>3500</v>
      </c>
      <c r="L33" s="49"/>
      <c r="M33" s="46"/>
      <c r="N33" s="44"/>
      <c r="O33" s="44">
        <v>3500</v>
      </c>
      <c r="P33" s="44">
        <f t="shared" si="3"/>
        <v>3500</v>
      </c>
      <c r="Q33" s="250"/>
      <c r="R33" s="44">
        <f t="shared" si="4"/>
        <v>3500</v>
      </c>
      <c r="S33" s="46"/>
      <c r="T33" s="458">
        <v>3500</v>
      </c>
      <c r="U33" s="458"/>
      <c r="V33" s="458">
        <v>3500</v>
      </c>
      <c r="W33" s="53">
        <f t="shared" si="10"/>
        <v>3500</v>
      </c>
      <c r="X33" s="53">
        <f t="shared" si="11"/>
        <v>7000</v>
      </c>
      <c r="Y33" s="346"/>
    </row>
    <row r="34" spans="1:25">
      <c r="A34" s="451">
        <f t="shared" si="0"/>
        <v>244</v>
      </c>
      <c r="B34" s="407" t="s">
        <v>498</v>
      </c>
      <c r="C34" s="49"/>
      <c r="D34" s="49">
        <v>9000</v>
      </c>
      <c r="E34" s="49"/>
      <c r="F34" s="49">
        <v>1500</v>
      </c>
      <c r="G34" s="49">
        <v>1500</v>
      </c>
      <c r="H34" s="50"/>
      <c r="I34" s="49"/>
      <c r="J34" s="49">
        <v>2000</v>
      </c>
      <c r="K34" s="49">
        <f t="shared" si="12"/>
        <v>2000</v>
      </c>
      <c r="L34" s="49"/>
      <c r="M34" s="46"/>
      <c r="N34" s="44"/>
      <c r="O34" s="44">
        <v>2000</v>
      </c>
      <c r="P34" s="44">
        <f t="shared" si="3"/>
        <v>2000</v>
      </c>
      <c r="Q34" s="250"/>
      <c r="R34" s="44">
        <f t="shared" si="4"/>
        <v>2000</v>
      </c>
      <c r="S34" s="46"/>
      <c r="T34" s="458">
        <v>2000</v>
      </c>
      <c r="U34" s="458"/>
      <c r="V34" s="458">
        <v>2000</v>
      </c>
      <c r="W34" s="53">
        <f t="shared" si="10"/>
        <v>2000</v>
      </c>
      <c r="X34" s="53">
        <f t="shared" si="11"/>
        <v>4000</v>
      </c>
      <c r="Y34" s="346"/>
    </row>
    <row r="35" spans="1:25" s="354" customFormat="1">
      <c r="A35" s="460">
        <f t="shared" si="0"/>
        <v>245</v>
      </c>
      <c r="B35" s="461" t="s">
        <v>499</v>
      </c>
      <c r="C35" s="309"/>
      <c r="D35" s="309">
        <v>213900</v>
      </c>
      <c r="E35" s="309">
        <f>26096+1431</f>
        <v>27527</v>
      </c>
      <c r="F35" s="309">
        <f>SUM(F25:F34)</f>
        <v>52700</v>
      </c>
      <c r="G35" s="309">
        <f>SUM(G25:G34)</f>
        <v>39700</v>
      </c>
      <c r="H35" s="65"/>
      <c r="I35" s="309">
        <f t="shared" ref="I35:K35" si="13">SUM(I25:I34)</f>
        <v>35500</v>
      </c>
      <c r="J35" s="309">
        <f t="shared" si="13"/>
        <v>53500</v>
      </c>
      <c r="K35" s="309">
        <f t="shared" si="13"/>
        <v>89000</v>
      </c>
      <c r="L35" s="309">
        <f>E35+G35+K35</f>
        <v>156227</v>
      </c>
      <c r="M35" s="311"/>
      <c r="N35" s="312">
        <f t="shared" ref="N35:P35" si="14">SUM(N25:N34)</f>
        <v>35500</v>
      </c>
      <c r="O35" s="312">
        <f t="shared" si="14"/>
        <v>52800</v>
      </c>
      <c r="P35" s="312">
        <f t="shared" si="14"/>
        <v>88300</v>
      </c>
      <c r="Q35" s="462"/>
      <c r="R35" s="312">
        <f t="shared" si="4"/>
        <v>88300</v>
      </c>
      <c r="S35" s="311"/>
      <c r="T35" s="314">
        <f t="shared" ref="T35:Y35" si="15">SUM(T25:T34)</f>
        <v>52800</v>
      </c>
      <c r="U35" s="314">
        <f t="shared" si="15"/>
        <v>35500</v>
      </c>
      <c r="V35" s="314">
        <f t="shared" si="15"/>
        <v>52800</v>
      </c>
      <c r="W35" s="314">
        <f t="shared" si="15"/>
        <v>88300</v>
      </c>
      <c r="X35" s="314">
        <f t="shared" si="15"/>
        <v>141100</v>
      </c>
      <c r="Y35" s="314">
        <f t="shared" si="15"/>
        <v>0</v>
      </c>
    </row>
    <row r="36" spans="1:25" s="354" customFormat="1">
      <c r="A36" s="406"/>
      <c r="B36" s="409"/>
      <c r="C36" s="453"/>
      <c r="D36" s="453"/>
      <c r="E36" s="453"/>
      <c r="F36" s="453"/>
      <c r="G36" s="453"/>
      <c r="H36" s="50"/>
      <c r="I36" s="453"/>
      <c r="J36" s="453"/>
      <c r="K36" s="453"/>
      <c r="L36" s="453"/>
      <c r="M36" s="454"/>
      <c r="N36" s="455"/>
      <c r="O36" s="455"/>
      <c r="P36" s="455">
        <f t="shared" si="3"/>
        <v>0</v>
      </c>
      <c r="Q36" s="465"/>
      <c r="R36" s="455">
        <f t="shared" si="4"/>
        <v>0</v>
      </c>
      <c r="S36" s="454"/>
      <c r="T36" s="457"/>
      <c r="U36" s="457"/>
      <c r="V36" s="457"/>
      <c r="W36" s="457"/>
      <c r="X36" s="457"/>
      <c r="Y36" s="457"/>
    </row>
    <row r="37" spans="1:25">
      <c r="A37" s="451">
        <f>A35+1</f>
        <v>246</v>
      </c>
      <c r="B37" s="407"/>
      <c r="C37" s="49"/>
      <c r="D37" s="49">
        <v>0</v>
      </c>
      <c r="E37" s="49"/>
      <c r="F37" s="49"/>
      <c r="G37" s="49"/>
      <c r="H37" s="50"/>
      <c r="I37" s="49"/>
      <c r="J37" s="49"/>
      <c r="K37" s="49"/>
      <c r="L37" s="49"/>
      <c r="M37" s="46"/>
      <c r="N37" s="44"/>
      <c r="O37" s="44"/>
      <c r="P37" s="44">
        <f t="shared" si="3"/>
        <v>0</v>
      </c>
      <c r="Q37" s="250"/>
      <c r="R37" s="44">
        <f t="shared" si="4"/>
        <v>0</v>
      </c>
      <c r="S37" s="46"/>
      <c r="T37" s="346"/>
      <c r="U37" s="346"/>
      <c r="V37" s="346"/>
      <c r="W37" s="346"/>
      <c r="X37" s="346"/>
      <c r="Y37" s="346"/>
    </row>
    <row r="38" spans="1:25" ht="20.85" customHeight="1">
      <c r="A38" s="406">
        <f t="shared" si="0"/>
        <v>247</v>
      </c>
      <c r="B38" s="409" t="s">
        <v>500</v>
      </c>
      <c r="C38" s="49">
        <v>627750</v>
      </c>
      <c r="D38" s="49">
        <v>0</v>
      </c>
      <c r="E38" s="49"/>
      <c r="F38" s="49"/>
      <c r="G38" s="49"/>
      <c r="H38" s="50" t="s">
        <v>501</v>
      </c>
      <c r="I38" s="49"/>
      <c r="J38" s="49"/>
      <c r="K38" s="49"/>
      <c r="L38" s="49"/>
      <c r="M38" s="46"/>
      <c r="N38" s="44"/>
      <c r="O38" s="44"/>
      <c r="P38" s="44">
        <f t="shared" si="3"/>
        <v>0</v>
      </c>
      <c r="Q38" s="250"/>
      <c r="R38" s="44">
        <f t="shared" si="4"/>
        <v>0</v>
      </c>
      <c r="S38" s="46"/>
      <c r="T38" s="346"/>
      <c r="U38" s="346"/>
      <c r="V38" s="346"/>
      <c r="W38" s="346"/>
      <c r="X38" s="346"/>
      <c r="Y38" s="346"/>
    </row>
    <row r="39" spans="1:25">
      <c r="A39" s="451">
        <f t="shared" si="0"/>
        <v>248</v>
      </c>
      <c r="B39" s="407" t="s">
        <v>179</v>
      </c>
      <c r="C39" s="49"/>
      <c r="D39" s="49">
        <v>87000</v>
      </c>
      <c r="E39" s="49"/>
      <c r="F39" s="49">
        <v>0</v>
      </c>
      <c r="G39" s="49">
        <v>0</v>
      </c>
      <c r="H39" s="50"/>
      <c r="I39" s="49">
        <v>191000</v>
      </c>
      <c r="J39" s="49"/>
      <c r="K39" s="49">
        <f>I39</f>
        <v>191000</v>
      </c>
      <c r="L39" s="49"/>
      <c r="M39" s="46"/>
      <c r="N39" s="44">
        <v>191000</v>
      </c>
      <c r="O39" s="44"/>
      <c r="P39" s="44">
        <f t="shared" si="3"/>
        <v>191000</v>
      </c>
      <c r="Q39" s="250"/>
      <c r="R39" s="44">
        <f t="shared" si="4"/>
        <v>191000</v>
      </c>
      <c r="S39" s="46"/>
      <c r="T39" s="458"/>
      <c r="U39" s="458">
        <v>191000</v>
      </c>
      <c r="V39" s="458"/>
      <c r="W39" s="53">
        <f t="shared" ref="W39:W48" si="16">U39+V39</f>
        <v>191000</v>
      </c>
      <c r="X39" s="53">
        <f t="shared" ref="X39:X48" si="17">T39+W39</f>
        <v>191000</v>
      </c>
      <c r="Y39" s="346"/>
    </row>
    <row r="40" spans="1:25" ht="18" customHeight="1">
      <c r="A40" s="463">
        <f t="shared" si="0"/>
        <v>249</v>
      </c>
      <c r="B40" s="464" t="s">
        <v>267</v>
      </c>
      <c r="C40" s="49"/>
      <c r="D40" s="49">
        <v>375000</v>
      </c>
      <c r="E40" s="49"/>
      <c r="F40" s="49">
        <f>125000-((11/12)*27500)</f>
        <v>99791.666666666672</v>
      </c>
      <c r="G40" s="49">
        <v>61528</v>
      </c>
      <c r="H40" s="50" t="s">
        <v>502</v>
      </c>
      <c r="I40" s="49"/>
      <c r="J40" s="49">
        <v>97500</v>
      </c>
      <c r="K40" s="49">
        <f>J40</f>
        <v>97500</v>
      </c>
      <c r="L40" s="49"/>
      <c r="M40" s="46"/>
      <c r="N40" s="44"/>
      <c r="O40" s="44">
        <v>107250</v>
      </c>
      <c r="P40" s="44">
        <f t="shared" si="3"/>
        <v>107250</v>
      </c>
      <c r="Q40" s="250" t="s">
        <v>503</v>
      </c>
      <c r="R40" s="44">
        <f t="shared" si="4"/>
        <v>107250</v>
      </c>
      <c r="S40" s="46"/>
      <c r="T40" s="458">
        <f>107250+35000</f>
        <v>142250</v>
      </c>
      <c r="U40" s="458"/>
      <c r="V40" s="458">
        <f>107250+35000</f>
        <v>142250</v>
      </c>
      <c r="W40" s="53">
        <f t="shared" si="16"/>
        <v>142250</v>
      </c>
      <c r="X40" s="53">
        <f t="shared" si="17"/>
        <v>284500</v>
      </c>
      <c r="Y40" s="466" t="s">
        <v>504</v>
      </c>
    </row>
    <row r="41" spans="1:25" ht="18.95" customHeight="1">
      <c r="A41" s="463">
        <f t="shared" si="0"/>
        <v>250</v>
      </c>
      <c r="B41" s="464" t="s">
        <v>428</v>
      </c>
      <c r="C41" s="49"/>
      <c r="D41" s="49">
        <v>150000</v>
      </c>
      <c r="E41" s="49"/>
      <c r="F41" s="49">
        <v>50000</v>
      </c>
      <c r="G41" s="49">
        <v>27350</v>
      </c>
      <c r="H41" s="50" t="s">
        <v>168</v>
      </c>
      <c r="I41" s="49"/>
      <c r="J41" s="49">
        <v>50000</v>
      </c>
      <c r="K41" s="49">
        <f t="shared" ref="K41:K47" si="18">J41</f>
        <v>50000</v>
      </c>
      <c r="L41" s="49"/>
      <c r="M41" s="46"/>
      <c r="N41" s="44"/>
      <c r="O41" s="44">
        <v>60000</v>
      </c>
      <c r="P41" s="44">
        <v>55000</v>
      </c>
      <c r="Q41" s="250"/>
      <c r="R41" s="44">
        <f t="shared" si="4"/>
        <v>55000</v>
      </c>
      <c r="S41" s="46"/>
      <c r="T41" s="458">
        <v>60000</v>
      </c>
      <c r="U41" s="458"/>
      <c r="V41" s="458">
        <v>60000</v>
      </c>
      <c r="W41" s="53">
        <f t="shared" si="16"/>
        <v>60000</v>
      </c>
      <c r="X41" s="53">
        <f t="shared" si="17"/>
        <v>120000</v>
      </c>
      <c r="Y41" s="346"/>
    </row>
    <row r="42" spans="1:25">
      <c r="A42" s="463">
        <f t="shared" si="0"/>
        <v>251</v>
      </c>
      <c r="B42" s="464" t="s">
        <v>505</v>
      </c>
      <c r="C42" s="49"/>
      <c r="D42" s="49">
        <v>6000</v>
      </c>
      <c r="E42" s="49"/>
      <c r="F42" s="49">
        <v>2000</v>
      </c>
      <c r="G42" s="49">
        <v>0</v>
      </c>
      <c r="H42" s="50"/>
      <c r="I42" s="49"/>
      <c r="J42" s="49">
        <v>2000</v>
      </c>
      <c r="K42" s="49">
        <f t="shared" si="18"/>
        <v>2000</v>
      </c>
      <c r="L42" s="49"/>
      <c r="M42" s="46"/>
      <c r="N42" s="44"/>
      <c r="O42" s="44">
        <v>2000</v>
      </c>
      <c r="P42" s="44">
        <f t="shared" si="3"/>
        <v>2000</v>
      </c>
      <c r="Q42" s="250"/>
      <c r="R42" s="44">
        <f t="shared" si="4"/>
        <v>2000</v>
      </c>
      <c r="S42" s="46"/>
      <c r="T42" s="458">
        <v>2000</v>
      </c>
      <c r="U42" s="458"/>
      <c r="V42" s="458">
        <v>2000</v>
      </c>
      <c r="W42" s="53">
        <f t="shared" si="16"/>
        <v>2000</v>
      </c>
      <c r="X42" s="53">
        <f t="shared" si="17"/>
        <v>4000</v>
      </c>
      <c r="Y42" s="346"/>
    </row>
    <row r="43" spans="1:25">
      <c r="A43" s="463">
        <f t="shared" si="0"/>
        <v>252</v>
      </c>
      <c r="B43" s="464" t="s">
        <v>506</v>
      </c>
      <c r="C43" s="49"/>
      <c r="D43" s="49">
        <v>30000</v>
      </c>
      <c r="E43" s="49"/>
      <c r="F43" s="49">
        <v>10000</v>
      </c>
      <c r="G43" s="49">
        <v>10000</v>
      </c>
      <c r="H43" s="50"/>
      <c r="I43" s="49"/>
      <c r="J43" s="49">
        <v>10000</v>
      </c>
      <c r="K43" s="49">
        <f t="shared" si="18"/>
        <v>10000</v>
      </c>
      <c r="L43" s="49"/>
      <c r="M43" s="46"/>
      <c r="N43" s="44"/>
      <c r="O43" s="44">
        <v>10000</v>
      </c>
      <c r="P43" s="44">
        <f t="shared" si="3"/>
        <v>10000</v>
      </c>
      <c r="Q43" s="250"/>
      <c r="R43" s="44">
        <f t="shared" si="4"/>
        <v>10000</v>
      </c>
      <c r="S43" s="46"/>
      <c r="T43" s="458">
        <v>10000</v>
      </c>
      <c r="U43" s="458"/>
      <c r="V43" s="458">
        <v>10000</v>
      </c>
      <c r="W43" s="53">
        <f t="shared" si="16"/>
        <v>10000</v>
      </c>
      <c r="X43" s="53">
        <f t="shared" si="17"/>
        <v>20000</v>
      </c>
      <c r="Y43" s="346"/>
    </row>
    <row r="44" spans="1:25">
      <c r="A44" s="463">
        <f t="shared" si="0"/>
        <v>253</v>
      </c>
      <c r="B44" s="464" t="s">
        <v>507</v>
      </c>
      <c r="C44" s="49"/>
      <c r="D44" s="49">
        <v>47750</v>
      </c>
      <c r="E44" s="49"/>
      <c r="F44" s="49">
        <v>21000</v>
      </c>
      <c r="G44" s="49">
        <v>21000</v>
      </c>
      <c r="H44" s="50"/>
      <c r="I44" s="49"/>
      <c r="J44" s="49">
        <v>26750</v>
      </c>
      <c r="K44" s="49">
        <f t="shared" si="18"/>
        <v>26750</v>
      </c>
      <c r="L44" s="49"/>
      <c r="M44" s="46"/>
      <c r="N44" s="44"/>
      <c r="O44" s="44">
        <v>25000</v>
      </c>
      <c r="P44" s="44">
        <f t="shared" si="3"/>
        <v>25000</v>
      </c>
      <c r="Q44" s="250"/>
      <c r="R44" s="44">
        <f t="shared" si="4"/>
        <v>25000</v>
      </c>
      <c r="S44" s="46"/>
      <c r="T44" s="458">
        <v>25000</v>
      </c>
      <c r="U44" s="458"/>
      <c r="V44" s="458">
        <v>25000</v>
      </c>
      <c r="W44" s="53">
        <f t="shared" si="16"/>
        <v>25000</v>
      </c>
      <c r="X44" s="53">
        <f t="shared" si="17"/>
        <v>50000</v>
      </c>
      <c r="Y44" s="346"/>
    </row>
    <row r="45" spans="1:25">
      <c r="A45" s="463">
        <f t="shared" si="0"/>
        <v>254</v>
      </c>
      <c r="B45" s="464" t="s">
        <v>508</v>
      </c>
      <c r="C45" s="49"/>
      <c r="D45" s="49">
        <v>7500</v>
      </c>
      <c r="E45" s="49"/>
      <c r="F45" s="49">
        <v>2500</v>
      </c>
      <c r="G45" s="49">
        <v>2500</v>
      </c>
      <c r="H45" s="50"/>
      <c r="I45" s="49"/>
      <c r="J45" s="49">
        <v>2500</v>
      </c>
      <c r="K45" s="49">
        <f t="shared" si="18"/>
        <v>2500</v>
      </c>
      <c r="L45" s="49"/>
      <c r="M45" s="46"/>
      <c r="N45" s="44"/>
      <c r="O45" s="44">
        <v>2500</v>
      </c>
      <c r="P45" s="44">
        <f t="shared" si="3"/>
        <v>2500</v>
      </c>
      <c r="Q45" s="250"/>
      <c r="R45" s="44">
        <f t="shared" si="4"/>
        <v>2500</v>
      </c>
      <c r="S45" s="46"/>
      <c r="T45" s="458">
        <v>2500</v>
      </c>
      <c r="U45" s="458"/>
      <c r="V45" s="458">
        <v>2500</v>
      </c>
      <c r="W45" s="53">
        <f t="shared" si="16"/>
        <v>2500</v>
      </c>
      <c r="X45" s="53">
        <f t="shared" si="17"/>
        <v>5000</v>
      </c>
      <c r="Y45" s="346"/>
    </row>
    <row r="46" spans="1:25">
      <c r="A46" s="463">
        <f t="shared" si="0"/>
        <v>255</v>
      </c>
      <c r="B46" s="464" t="s">
        <v>496</v>
      </c>
      <c r="C46" s="49"/>
      <c r="D46" s="49">
        <v>4500</v>
      </c>
      <c r="E46" s="49"/>
      <c r="F46" s="49">
        <v>1500</v>
      </c>
      <c r="G46" s="49">
        <v>1500</v>
      </c>
      <c r="H46" s="50"/>
      <c r="I46" s="49"/>
      <c r="J46" s="49">
        <v>1500</v>
      </c>
      <c r="K46" s="49">
        <f t="shared" si="18"/>
        <v>1500</v>
      </c>
      <c r="L46" s="49"/>
      <c r="M46" s="46"/>
      <c r="N46" s="44"/>
      <c r="O46" s="44">
        <v>1500</v>
      </c>
      <c r="P46" s="44">
        <f t="shared" si="3"/>
        <v>1500</v>
      </c>
      <c r="Q46" s="250"/>
      <c r="R46" s="44">
        <f t="shared" si="4"/>
        <v>1500</v>
      </c>
      <c r="S46" s="46"/>
      <c r="T46" s="458">
        <v>1500</v>
      </c>
      <c r="U46" s="458"/>
      <c r="V46" s="458">
        <v>1500</v>
      </c>
      <c r="W46" s="53">
        <f t="shared" si="16"/>
        <v>1500</v>
      </c>
      <c r="X46" s="53">
        <f t="shared" si="17"/>
        <v>3000</v>
      </c>
      <c r="Y46" s="346"/>
    </row>
    <row r="47" spans="1:25">
      <c r="A47" s="463">
        <f t="shared" si="0"/>
        <v>256</v>
      </c>
      <c r="B47" s="464" t="s">
        <v>509</v>
      </c>
      <c r="C47" s="49"/>
      <c r="D47" s="49">
        <v>10500</v>
      </c>
      <c r="E47" s="49"/>
      <c r="F47" s="49">
        <v>3500</v>
      </c>
      <c r="G47" s="49">
        <v>3500</v>
      </c>
      <c r="H47" s="50"/>
      <c r="I47" s="49"/>
      <c r="J47" s="49">
        <v>3500</v>
      </c>
      <c r="K47" s="49">
        <f t="shared" si="18"/>
        <v>3500</v>
      </c>
      <c r="L47" s="49"/>
      <c r="M47" s="46"/>
      <c r="N47" s="44"/>
      <c r="O47" s="44">
        <v>3500</v>
      </c>
      <c r="P47" s="44">
        <f t="shared" si="3"/>
        <v>3500</v>
      </c>
      <c r="Q47" s="250"/>
      <c r="R47" s="44">
        <f t="shared" si="4"/>
        <v>3500</v>
      </c>
      <c r="S47" s="46"/>
      <c r="T47" s="458">
        <v>3500</v>
      </c>
      <c r="U47" s="458"/>
      <c r="V47" s="458">
        <v>3500</v>
      </c>
      <c r="W47" s="53">
        <f t="shared" si="16"/>
        <v>3500</v>
      </c>
      <c r="X47" s="53">
        <f t="shared" si="17"/>
        <v>7000</v>
      </c>
      <c r="Y47" s="346"/>
    </row>
    <row r="48" spans="1:25">
      <c r="A48" s="451">
        <f>A47+1</f>
        <v>257</v>
      </c>
      <c r="B48" s="407" t="s">
        <v>498</v>
      </c>
      <c r="C48" s="49"/>
      <c r="D48" s="49">
        <v>6000</v>
      </c>
      <c r="E48" s="49"/>
      <c r="F48" s="49">
        <v>2000</v>
      </c>
      <c r="G48" s="49">
        <v>2000</v>
      </c>
      <c r="H48" s="50"/>
      <c r="I48" s="49"/>
      <c r="J48" s="49">
        <v>2000</v>
      </c>
      <c r="K48" s="49">
        <f>J48</f>
        <v>2000</v>
      </c>
      <c r="L48" s="49"/>
      <c r="M48" s="46"/>
      <c r="N48" s="44"/>
      <c r="O48" s="44">
        <v>2000</v>
      </c>
      <c r="P48" s="44">
        <f t="shared" si="3"/>
        <v>2000</v>
      </c>
      <c r="Q48" s="250"/>
      <c r="R48" s="44">
        <f t="shared" si="4"/>
        <v>2000</v>
      </c>
      <c r="S48" s="46"/>
      <c r="T48" s="458">
        <v>2000</v>
      </c>
      <c r="U48" s="458"/>
      <c r="V48" s="458">
        <v>2000</v>
      </c>
      <c r="W48" s="53">
        <f t="shared" si="16"/>
        <v>2000</v>
      </c>
      <c r="X48" s="53">
        <f t="shared" si="17"/>
        <v>4000</v>
      </c>
      <c r="Y48" s="346"/>
    </row>
    <row r="49" spans="1:25" s="354" customFormat="1">
      <c r="A49" s="460">
        <f t="shared" si="0"/>
        <v>258</v>
      </c>
      <c r="B49" s="461" t="s">
        <v>510</v>
      </c>
      <c r="C49" s="467">
        <f>SUM(C38:C48)</f>
        <v>627750</v>
      </c>
      <c r="D49" s="309">
        <v>724250</v>
      </c>
      <c r="E49" s="309">
        <v>255014</v>
      </c>
      <c r="F49" s="309">
        <f>SUM(F39:F48)</f>
        <v>192291.66666666669</v>
      </c>
      <c r="G49" s="309">
        <f>SUM(G39:G48)</f>
        <v>129378</v>
      </c>
      <c r="H49" s="65"/>
      <c r="I49" s="309">
        <f t="shared" ref="I49:K49" si="19">SUM(I39:I48)</f>
        <v>191000</v>
      </c>
      <c r="J49" s="309">
        <f t="shared" si="19"/>
        <v>195750</v>
      </c>
      <c r="K49" s="309">
        <f t="shared" si="19"/>
        <v>386750</v>
      </c>
      <c r="L49" s="309">
        <f>E49+G49+K49</f>
        <v>771142</v>
      </c>
      <c r="M49" s="311"/>
      <c r="N49" s="312">
        <f t="shared" ref="N49" si="20">SUM(N39:N48)</f>
        <v>191000</v>
      </c>
      <c r="O49" s="312">
        <f t="shared" ref="O49:P49" si="21">SUM(O39:O48)</f>
        <v>213750</v>
      </c>
      <c r="P49" s="312">
        <f t="shared" si="21"/>
        <v>399750</v>
      </c>
      <c r="Q49" s="462" t="s">
        <v>511</v>
      </c>
      <c r="R49" s="312">
        <f t="shared" si="4"/>
        <v>399750</v>
      </c>
      <c r="S49" s="311"/>
      <c r="T49" s="314">
        <f t="shared" ref="T49:Y49" si="22">SUM(T39:T48)</f>
        <v>248750</v>
      </c>
      <c r="U49" s="314">
        <f t="shared" si="22"/>
        <v>191000</v>
      </c>
      <c r="V49" s="314">
        <f t="shared" si="22"/>
        <v>248750</v>
      </c>
      <c r="W49" s="314">
        <f t="shared" si="22"/>
        <v>439750</v>
      </c>
      <c r="X49" s="314">
        <f t="shared" si="22"/>
        <v>688500</v>
      </c>
      <c r="Y49" s="314">
        <f t="shared" si="22"/>
        <v>0</v>
      </c>
    </row>
    <row r="50" spans="1:25">
      <c r="A50" s="451">
        <f t="shared" si="0"/>
        <v>259</v>
      </c>
      <c r="B50" s="407"/>
      <c r="C50" s="49"/>
      <c r="D50" s="49"/>
      <c r="E50" s="49"/>
      <c r="F50" s="49"/>
      <c r="G50" s="49"/>
      <c r="H50" s="50"/>
      <c r="I50" s="49"/>
      <c r="J50" s="49"/>
      <c r="K50" s="49"/>
      <c r="L50" s="49"/>
      <c r="M50" s="46"/>
      <c r="N50" s="44"/>
      <c r="O50" s="44"/>
      <c r="P50" s="44">
        <f t="shared" si="3"/>
        <v>0</v>
      </c>
      <c r="Q50" s="250"/>
      <c r="R50" s="44">
        <f t="shared" si="4"/>
        <v>0</v>
      </c>
      <c r="S50" s="46"/>
      <c r="T50" s="346"/>
      <c r="U50" s="346"/>
      <c r="V50" s="346"/>
      <c r="W50" s="346"/>
      <c r="X50" s="346"/>
      <c r="Y50" s="346"/>
    </row>
    <row r="51" spans="1:25">
      <c r="A51" s="406">
        <f t="shared" si="0"/>
        <v>260</v>
      </c>
      <c r="B51" s="409" t="s">
        <v>512</v>
      </c>
      <c r="C51" s="49">
        <v>469500</v>
      </c>
      <c r="D51" s="49"/>
      <c r="E51" s="49"/>
      <c r="F51" s="49"/>
      <c r="G51" s="49"/>
      <c r="H51" s="50"/>
      <c r="I51" s="49"/>
      <c r="J51" s="49"/>
      <c r="K51" s="49"/>
      <c r="L51" s="49"/>
      <c r="M51" s="46"/>
      <c r="N51" s="44"/>
      <c r="O51" s="44"/>
      <c r="P51" s="44">
        <f t="shared" si="3"/>
        <v>0</v>
      </c>
      <c r="Q51" s="250"/>
      <c r="R51" s="44">
        <f t="shared" si="4"/>
        <v>0</v>
      </c>
      <c r="S51" s="46"/>
      <c r="T51" s="346"/>
      <c r="U51" s="346"/>
      <c r="V51" s="346"/>
      <c r="W51" s="346"/>
      <c r="X51" s="346"/>
      <c r="Y51" s="346"/>
    </row>
    <row r="52" spans="1:25">
      <c r="A52" s="451">
        <f t="shared" si="0"/>
        <v>261</v>
      </c>
      <c r="B52" s="407" t="s">
        <v>179</v>
      </c>
      <c r="C52" s="49"/>
      <c r="D52" s="49">
        <v>10000</v>
      </c>
      <c r="E52" s="49"/>
      <c r="F52" s="49"/>
      <c r="G52" s="49"/>
      <c r="H52" s="50"/>
      <c r="I52" s="49">
        <v>33000</v>
      </c>
      <c r="J52" s="49"/>
      <c r="K52" s="49">
        <f>I52</f>
        <v>33000</v>
      </c>
      <c r="L52" s="49"/>
      <c r="M52" s="46"/>
      <c r="N52" s="44">
        <v>33000</v>
      </c>
      <c r="O52" s="44"/>
      <c r="P52" s="44">
        <f t="shared" si="3"/>
        <v>33000</v>
      </c>
      <c r="Q52" s="250" t="s">
        <v>513</v>
      </c>
      <c r="R52" s="44">
        <f t="shared" si="4"/>
        <v>33000</v>
      </c>
      <c r="S52" s="46"/>
      <c r="T52" s="458"/>
      <c r="U52" s="458">
        <v>37000</v>
      </c>
      <c r="V52" s="458"/>
      <c r="W52" s="53">
        <f t="shared" ref="W52:W60" si="23">U52+V52</f>
        <v>37000</v>
      </c>
      <c r="X52" s="53">
        <f t="shared" ref="X52:X60" si="24">T52+W52</f>
        <v>37000</v>
      </c>
      <c r="Y52" s="346"/>
    </row>
    <row r="53" spans="1:25">
      <c r="A53" s="463">
        <f t="shared" si="0"/>
        <v>262</v>
      </c>
      <c r="B53" s="464" t="s">
        <v>514</v>
      </c>
      <c r="C53" s="49"/>
      <c r="D53" s="49">
        <v>36750</v>
      </c>
      <c r="E53" s="49"/>
      <c r="F53" s="49">
        <v>1500</v>
      </c>
      <c r="G53" s="49">
        <v>1500</v>
      </c>
      <c r="H53" s="50"/>
      <c r="I53" s="49"/>
      <c r="J53" s="49">
        <v>1500</v>
      </c>
      <c r="K53" s="49">
        <f>J53</f>
        <v>1500</v>
      </c>
      <c r="L53" s="49"/>
      <c r="M53" s="46"/>
      <c r="N53" s="44"/>
      <c r="O53" s="44">
        <v>1500</v>
      </c>
      <c r="P53" s="44">
        <f t="shared" si="3"/>
        <v>1500</v>
      </c>
      <c r="Q53" s="250"/>
      <c r="R53" s="44">
        <f t="shared" si="4"/>
        <v>1500</v>
      </c>
      <c r="S53" s="46"/>
      <c r="T53" s="458">
        <v>1500</v>
      </c>
      <c r="U53" s="458"/>
      <c r="V53" s="458">
        <v>1500</v>
      </c>
      <c r="W53" s="53">
        <f t="shared" si="23"/>
        <v>1500</v>
      </c>
      <c r="X53" s="53">
        <f t="shared" si="24"/>
        <v>3000</v>
      </c>
      <c r="Y53" s="346"/>
    </row>
    <row r="54" spans="1:25" ht="42.75">
      <c r="A54" s="463">
        <f t="shared" si="0"/>
        <v>263</v>
      </c>
      <c r="B54" s="464" t="s">
        <v>480</v>
      </c>
      <c r="C54" s="49"/>
      <c r="D54" s="49">
        <v>45000</v>
      </c>
      <c r="E54" s="49"/>
      <c r="F54" s="49">
        <v>12000</v>
      </c>
      <c r="G54" s="49">
        <f>12000*0.8</f>
        <v>9600</v>
      </c>
      <c r="H54" s="50" t="s">
        <v>515</v>
      </c>
      <c r="I54" s="49"/>
      <c r="J54" s="49">
        <v>12000</v>
      </c>
      <c r="K54" s="49">
        <f t="shared" ref="K54:K60" si="25">J54</f>
        <v>12000</v>
      </c>
      <c r="L54" s="49"/>
      <c r="M54" s="46"/>
      <c r="N54" s="44"/>
      <c r="O54" s="44">
        <v>13000</v>
      </c>
      <c r="P54" s="44">
        <f t="shared" si="3"/>
        <v>13000</v>
      </c>
      <c r="Q54" s="250" t="s">
        <v>516</v>
      </c>
      <c r="R54" s="44">
        <f t="shared" si="4"/>
        <v>13000</v>
      </c>
      <c r="S54" s="46"/>
      <c r="T54" s="458">
        <v>13000</v>
      </c>
      <c r="U54" s="458"/>
      <c r="V54" s="458">
        <v>13000</v>
      </c>
      <c r="W54" s="53">
        <f t="shared" si="23"/>
        <v>13000</v>
      </c>
      <c r="X54" s="53">
        <f t="shared" si="24"/>
        <v>26000</v>
      </c>
      <c r="Y54" s="346"/>
    </row>
    <row r="55" spans="1:25" ht="13.9" customHeight="1">
      <c r="A55" s="463">
        <f t="shared" si="0"/>
        <v>264</v>
      </c>
      <c r="B55" s="464" t="s">
        <v>428</v>
      </c>
      <c r="C55" s="49"/>
      <c r="D55" s="49">
        <v>75000</v>
      </c>
      <c r="E55" s="49"/>
      <c r="F55" s="49">
        <v>26383</v>
      </c>
      <c r="G55" s="49">
        <f>26383*0.75</f>
        <v>19787.25</v>
      </c>
      <c r="H55" s="50" t="s">
        <v>517</v>
      </c>
      <c r="I55" s="49"/>
      <c r="J55" s="49">
        <v>26384</v>
      </c>
      <c r="K55" s="49">
        <f t="shared" si="25"/>
        <v>26384</v>
      </c>
      <c r="L55" s="49"/>
      <c r="M55" s="46"/>
      <c r="N55" s="44"/>
      <c r="O55" s="44">
        <f>24000+7500</f>
        <v>31500</v>
      </c>
      <c r="P55" s="44">
        <f t="shared" si="3"/>
        <v>31500</v>
      </c>
      <c r="Q55" s="250" t="s">
        <v>518</v>
      </c>
      <c r="R55" s="44">
        <f t="shared" si="4"/>
        <v>31500</v>
      </c>
      <c r="S55" s="46"/>
      <c r="T55" s="458">
        <v>24000</v>
      </c>
      <c r="U55" s="458"/>
      <c r="V55" s="458">
        <v>24000</v>
      </c>
      <c r="W55" s="53">
        <f t="shared" si="23"/>
        <v>24000</v>
      </c>
      <c r="X55" s="53">
        <f t="shared" si="24"/>
        <v>48000</v>
      </c>
      <c r="Y55" s="346"/>
    </row>
    <row r="56" spans="1:25">
      <c r="A56" s="463">
        <f t="shared" si="0"/>
        <v>265</v>
      </c>
      <c r="B56" s="464" t="s">
        <v>482</v>
      </c>
      <c r="C56" s="49"/>
      <c r="D56" s="49">
        <v>6000</v>
      </c>
      <c r="E56" s="49"/>
      <c r="F56" s="49">
        <v>3000</v>
      </c>
      <c r="G56" s="49">
        <v>3600</v>
      </c>
      <c r="H56" s="50" t="s">
        <v>519</v>
      </c>
      <c r="I56" s="49"/>
      <c r="J56" s="49">
        <v>3000</v>
      </c>
      <c r="K56" s="49">
        <f t="shared" si="25"/>
        <v>3000</v>
      </c>
      <c r="L56" s="49"/>
      <c r="M56" s="46"/>
      <c r="N56" s="44"/>
      <c r="O56" s="44">
        <v>5000</v>
      </c>
      <c r="P56" s="44">
        <f t="shared" si="3"/>
        <v>5000</v>
      </c>
      <c r="Q56" s="250" t="s">
        <v>520</v>
      </c>
      <c r="R56" s="44">
        <f t="shared" si="4"/>
        <v>5000</v>
      </c>
      <c r="S56" s="46"/>
      <c r="T56" s="458">
        <v>5000</v>
      </c>
      <c r="U56" s="458"/>
      <c r="V56" s="458">
        <v>5000</v>
      </c>
      <c r="W56" s="53">
        <f t="shared" si="23"/>
        <v>5000</v>
      </c>
      <c r="X56" s="53">
        <f t="shared" si="24"/>
        <v>10000</v>
      </c>
      <c r="Y56" s="346"/>
    </row>
    <row r="57" spans="1:25">
      <c r="A57" s="463">
        <f t="shared" si="0"/>
        <v>266</v>
      </c>
      <c r="B57" s="464" t="s">
        <v>484</v>
      </c>
      <c r="C57" s="49"/>
      <c r="D57" s="49">
        <v>52500</v>
      </c>
      <c r="E57" s="49"/>
      <c r="F57" s="49">
        <v>13500</v>
      </c>
      <c r="G57" s="49">
        <v>13500</v>
      </c>
      <c r="H57" s="50"/>
      <c r="I57" s="49"/>
      <c r="J57" s="49">
        <v>15000</v>
      </c>
      <c r="K57" s="49">
        <f t="shared" si="25"/>
        <v>15000</v>
      </c>
      <c r="L57" s="49"/>
      <c r="M57" s="46"/>
      <c r="N57" s="44"/>
      <c r="O57" s="44">
        <v>15500</v>
      </c>
      <c r="P57" s="44">
        <f t="shared" si="3"/>
        <v>15500</v>
      </c>
      <c r="Q57" s="250"/>
      <c r="R57" s="44">
        <f t="shared" si="4"/>
        <v>15500</v>
      </c>
      <c r="S57" s="46"/>
      <c r="T57" s="458">
        <v>15500</v>
      </c>
      <c r="U57" s="458"/>
      <c r="V57" s="458">
        <v>15500</v>
      </c>
      <c r="W57" s="53">
        <f t="shared" si="23"/>
        <v>15500</v>
      </c>
      <c r="X57" s="53">
        <f t="shared" si="24"/>
        <v>31000</v>
      </c>
      <c r="Y57" s="346"/>
    </row>
    <row r="58" spans="1:25">
      <c r="A58" s="463">
        <f t="shared" si="0"/>
        <v>267</v>
      </c>
      <c r="B58" s="464" t="s">
        <v>496</v>
      </c>
      <c r="C58" s="49"/>
      <c r="D58" s="49">
        <v>1800</v>
      </c>
      <c r="E58" s="49"/>
      <c r="F58" s="49">
        <v>600</v>
      </c>
      <c r="G58" s="49">
        <v>600</v>
      </c>
      <c r="H58" s="50"/>
      <c r="I58" s="49"/>
      <c r="J58" s="49">
        <v>600</v>
      </c>
      <c r="K58" s="49">
        <f t="shared" si="25"/>
        <v>600</v>
      </c>
      <c r="L58" s="49"/>
      <c r="M58" s="46"/>
      <c r="N58" s="44"/>
      <c r="O58" s="44">
        <v>600</v>
      </c>
      <c r="P58" s="44">
        <f t="shared" si="3"/>
        <v>600</v>
      </c>
      <c r="Q58" s="250"/>
      <c r="R58" s="44">
        <f t="shared" si="4"/>
        <v>600</v>
      </c>
      <c r="S58" s="46"/>
      <c r="T58" s="458">
        <v>500</v>
      </c>
      <c r="U58" s="458"/>
      <c r="V58" s="458">
        <v>600</v>
      </c>
      <c r="W58" s="53">
        <f t="shared" si="23"/>
        <v>600</v>
      </c>
      <c r="X58" s="53">
        <f t="shared" si="24"/>
        <v>1100</v>
      </c>
      <c r="Y58" s="346"/>
    </row>
    <row r="59" spans="1:25">
      <c r="A59" s="463">
        <f t="shared" si="0"/>
        <v>268</v>
      </c>
      <c r="B59" s="464" t="s">
        <v>497</v>
      </c>
      <c r="C59" s="49"/>
      <c r="D59" s="49">
        <v>6000</v>
      </c>
      <c r="E59" s="49"/>
      <c r="F59" s="49">
        <v>5500</v>
      </c>
      <c r="G59" s="49">
        <v>1200</v>
      </c>
      <c r="H59" s="50"/>
      <c r="I59" s="49"/>
      <c r="J59" s="49">
        <v>9800</v>
      </c>
      <c r="K59" s="49">
        <f t="shared" si="25"/>
        <v>9800</v>
      </c>
      <c r="L59" s="49"/>
      <c r="M59" s="46"/>
      <c r="N59" s="44"/>
      <c r="O59" s="44">
        <v>5000</v>
      </c>
      <c r="P59" s="44">
        <f t="shared" si="3"/>
        <v>5000</v>
      </c>
      <c r="Q59" s="250"/>
      <c r="R59" s="44">
        <f t="shared" si="4"/>
        <v>5000</v>
      </c>
      <c r="S59" s="46"/>
      <c r="T59" s="458">
        <v>5000</v>
      </c>
      <c r="U59" s="458"/>
      <c r="V59" s="458">
        <v>5000</v>
      </c>
      <c r="W59" s="53">
        <f t="shared" si="23"/>
        <v>5000</v>
      </c>
      <c r="X59" s="53">
        <f t="shared" si="24"/>
        <v>10000</v>
      </c>
      <c r="Y59" s="346"/>
    </row>
    <row r="60" spans="1:25">
      <c r="A60" s="451">
        <f t="shared" si="0"/>
        <v>269</v>
      </c>
      <c r="B60" s="407" t="s">
        <v>498</v>
      </c>
      <c r="C60" s="49"/>
      <c r="D60" s="49">
        <v>5000</v>
      </c>
      <c r="E60" s="49"/>
      <c r="F60" s="49">
        <v>4000</v>
      </c>
      <c r="G60" s="49">
        <v>4000</v>
      </c>
      <c r="H60" s="50"/>
      <c r="I60" s="49"/>
      <c r="J60" s="49">
        <v>4000</v>
      </c>
      <c r="K60" s="49">
        <f t="shared" si="25"/>
        <v>4000</v>
      </c>
      <c r="L60" s="49"/>
      <c r="M60" s="46"/>
      <c r="N60" s="44"/>
      <c r="O60" s="44">
        <v>6000</v>
      </c>
      <c r="P60" s="44">
        <f t="shared" si="3"/>
        <v>6000</v>
      </c>
      <c r="Q60" s="250" t="s">
        <v>521</v>
      </c>
      <c r="R60" s="44">
        <f t="shared" si="4"/>
        <v>6000</v>
      </c>
      <c r="S60" s="46"/>
      <c r="T60" s="458">
        <v>6000</v>
      </c>
      <c r="U60" s="458"/>
      <c r="V60" s="458">
        <v>6000</v>
      </c>
      <c r="W60" s="53">
        <f t="shared" si="23"/>
        <v>6000</v>
      </c>
      <c r="X60" s="53">
        <f t="shared" si="24"/>
        <v>12000</v>
      </c>
      <c r="Y60" s="346"/>
    </row>
    <row r="61" spans="1:25" s="354" customFormat="1">
      <c r="A61" s="460">
        <f t="shared" si="0"/>
        <v>270</v>
      </c>
      <c r="B61" s="461" t="s">
        <v>522</v>
      </c>
      <c r="C61" s="309">
        <f>SUM(C51:C60)</f>
        <v>469500</v>
      </c>
      <c r="D61" s="309">
        <f t="shared" ref="D61:K61" si="26">SUM(D52:D60)</f>
        <v>238050</v>
      </c>
      <c r="E61" s="309">
        <v>45088</v>
      </c>
      <c r="F61" s="309">
        <f t="shared" si="26"/>
        <v>66483</v>
      </c>
      <c r="G61" s="309">
        <f t="shared" si="26"/>
        <v>53787.25</v>
      </c>
      <c r="H61" s="310"/>
      <c r="I61" s="309">
        <f t="shared" si="26"/>
        <v>33000</v>
      </c>
      <c r="J61" s="309">
        <f t="shared" si="26"/>
        <v>72284</v>
      </c>
      <c r="K61" s="309">
        <f t="shared" si="26"/>
        <v>105284</v>
      </c>
      <c r="L61" s="309">
        <f>E61+G61+K61</f>
        <v>204159.25</v>
      </c>
      <c r="M61" s="311"/>
      <c r="N61" s="312">
        <f t="shared" ref="N61:P61" si="27">SUM(N52:N60)</f>
        <v>33000</v>
      </c>
      <c r="O61" s="312">
        <f t="shared" si="27"/>
        <v>78100</v>
      </c>
      <c r="P61" s="312">
        <f t="shared" si="27"/>
        <v>111100</v>
      </c>
      <c r="Q61" s="462"/>
      <c r="R61" s="312">
        <f t="shared" si="4"/>
        <v>111100</v>
      </c>
      <c r="S61" s="311"/>
      <c r="T61" s="314">
        <f t="shared" ref="T61:Y61" si="28">SUM(T52:T60)</f>
        <v>70500</v>
      </c>
      <c r="U61" s="314">
        <f t="shared" si="28"/>
        <v>37000</v>
      </c>
      <c r="V61" s="314">
        <f t="shared" si="28"/>
        <v>70600</v>
      </c>
      <c r="W61" s="314">
        <f t="shared" si="28"/>
        <v>107600</v>
      </c>
      <c r="X61" s="314">
        <f t="shared" si="28"/>
        <v>178100</v>
      </c>
      <c r="Y61" s="314">
        <f t="shared" si="28"/>
        <v>0</v>
      </c>
    </row>
    <row r="62" spans="1:25">
      <c r="A62" s="451">
        <f t="shared" si="0"/>
        <v>271</v>
      </c>
      <c r="B62" s="407"/>
      <c r="C62" s="49"/>
      <c r="D62" s="49">
        <v>0</v>
      </c>
      <c r="E62" s="49"/>
      <c r="F62" s="49"/>
      <c r="G62" s="49"/>
      <c r="H62" s="50"/>
      <c r="I62" s="49"/>
      <c r="J62" s="49"/>
      <c r="K62" s="49"/>
      <c r="L62" s="49"/>
      <c r="M62" s="46"/>
      <c r="N62" s="44"/>
      <c r="O62" s="44"/>
      <c r="P62" s="44">
        <f t="shared" si="3"/>
        <v>0</v>
      </c>
      <c r="Q62" s="250"/>
      <c r="R62" s="44">
        <f t="shared" si="4"/>
        <v>0</v>
      </c>
      <c r="S62" s="46"/>
      <c r="T62" s="346"/>
      <c r="U62" s="346"/>
      <c r="V62" s="346"/>
      <c r="W62" s="346"/>
      <c r="X62" s="346"/>
      <c r="Y62" s="346"/>
    </row>
    <row r="63" spans="1:25" ht="25.5" customHeight="1">
      <c r="A63" s="406">
        <f t="shared" si="0"/>
        <v>272</v>
      </c>
      <c r="B63" s="409" t="s">
        <v>523</v>
      </c>
      <c r="C63" s="49">
        <v>861900</v>
      </c>
      <c r="D63" s="49">
        <v>0</v>
      </c>
      <c r="E63" s="49"/>
      <c r="F63" s="49"/>
      <c r="G63" s="49"/>
      <c r="H63" s="50" t="s">
        <v>524</v>
      </c>
      <c r="I63" s="49"/>
      <c r="J63" s="49"/>
      <c r="K63" s="49"/>
      <c r="L63" s="49"/>
      <c r="M63" s="46"/>
      <c r="N63" s="44"/>
      <c r="O63" s="44"/>
      <c r="P63" s="44">
        <f t="shared" si="3"/>
        <v>0</v>
      </c>
      <c r="Q63" s="250"/>
      <c r="R63" s="44">
        <f t="shared" si="4"/>
        <v>0</v>
      </c>
      <c r="S63" s="46"/>
      <c r="T63" s="346"/>
      <c r="U63" s="346"/>
      <c r="V63" s="346"/>
      <c r="W63" s="346"/>
      <c r="X63" s="346"/>
      <c r="Y63" s="346"/>
    </row>
    <row r="64" spans="1:25">
      <c r="A64" s="451">
        <f t="shared" si="0"/>
        <v>273</v>
      </c>
      <c r="B64" s="407" t="s">
        <v>179</v>
      </c>
      <c r="C64" s="49"/>
      <c r="D64" s="49">
        <v>30000</v>
      </c>
      <c r="E64" s="49"/>
      <c r="F64" s="49"/>
      <c r="G64" s="49"/>
      <c r="H64" s="50"/>
      <c r="I64" s="49">
        <v>20000</v>
      </c>
      <c r="J64" s="49"/>
      <c r="K64" s="49">
        <f>I64</f>
        <v>20000</v>
      </c>
      <c r="L64" s="49"/>
      <c r="M64" s="46"/>
      <c r="N64" s="44">
        <v>20000</v>
      </c>
      <c r="O64" s="44"/>
      <c r="P64" s="44">
        <f t="shared" si="3"/>
        <v>20000</v>
      </c>
      <c r="Q64" s="468"/>
      <c r="R64" s="44">
        <f t="shared" si="4"/>
        <v>20000</v>
      </c>
      <c r="S64" s="46"/>
      <c r="T64" s="458"/>
      <c r="U64" s="458">
        <v>20000</v>
      </c>
      <c r="V64" s="458"/>
      <c r="W64" s="53">
        <f t="shared" ref="W64:W73" si="29">U64+V64</f>
        <v>20000</v>
      </c>
      <c r="X64" s="53">
        <f t="shared" ref="X64:X73" si="30">T64+W64</f>
        <v>20000</v>
      </c>
      <c r="Y64" s="346"/>
    </row>
    <row r="65" spans="1:25" ht="23.45" customHeight="1">
      <c r="A65" s="451">
        <f t="shared" si="0"/>
        <v>274</v>
      </c>
      <c r="B65" s="407" t="s">
        <v>428</v>
      </c>
      <c r="C65" s="49"/>
      <c r="D65" s="49">
        <v>75000</v>
      </c>
      <c r="E65" s="49"/>
      <c r="F65" s="49">
        <v>25000</v>
      </c>
      <c r="G65" s="49">
        <f>25000*0.25</f>
        <v>6250</v>
      </c>
      <c r="H65" s="50" t="s">
        <v>525</v>
      </c>
      <c r="I65" s="49"/>
      <c r="J65" s="49">
        <v>25000</v>
      </c>
      <c r="K65" s="49">
        <f>J65</f>
        <v>25000</v>
      </c>
      <c r="L65" s="49"/>
      <c r="M65" s="46"/>
      <c r="N65" s="44"/>
      <c r="O65" s="44">
        <v>25000</v>
      </c>
      <c r="P65" s="44">
        <f t="shared" si="3"/>
        <v>25000</v>
      </c>
      <c r="Q65" s="468"/>
      <c r="R65" s="44">
        <f t="shared" si="4"/>
        <v>25000</v>
      </c>
      <c r="S65" s="46"/>
      <c r="T65" s="458">
        <v>25000</v>
      </c>
      <c r="U65" s="458"/>
      <c r="V65" s="458">
        <v>25000</v>
      </c>
      <c r="W65" s="53">
        <f t="shared" si="29"/>
        <v>25000</v>
      </c>
      <c r="X65" s="53">
        <f t="shared" si="30"/>
        <v>50000</v>
      </c>
      <c r="Y65" s="346"/>
    </row>
    <row r="66" spans="1:25">
      <c r="A66" s="451">
        <f t="shared" si="0"/>
        <v>275</v>
      </c>
      <c r="B66" s="407" t="s">
        <v>505</v>
      </c>
      <c r="C66" s="49"/>
      <c r="D66" s="49">
        <v>7500</v>
      </c>
      <c r="E66" s="49"/>
      <c r="F66" s="49">
        <v>2500</v>
      </c>
      <c r="G66" s="49">
        <v>0</v>
      </c>
      <c r="H66" s="50"/>
      <c r="I66" s="49"/>
      <c r="J66" s="49">
        <v>2500</v>
      </c>
      <c r="K66" s="49">
        <f t="shared" ref="K66:K73" si="31">J66</f>
        <v>2500</v>
      </c>
      <c r="L66" s="49"/>
      <c r="M66" s="46"/>
      <c r="N66" s="44"/>
      <c r="O66" s="44">
        <v>2500</v>
      </c>
      <c r="P66" s="44">
        <f t="shared" si="3"/>
        <v>2500</v>
      </c>
      <c r="Q66" s="468"/>
      <c r="R66" s="44">
        <f t="shared" si="4"/>
        <v>2500</v>
      </c>
      <c r="S66" s="46"/>
      <c r="T66" s="458">
        <v>2500</v>
      </c>
      <c r="U66" s="458"/>
      <c r="V66" s="458">
        <v>2500</v>
      </c>
      <c r="W66" s="53">
        <f t="shared" si="29"/>
        <v>2500</v>
      </c>
      <c r="X66" s="53">
        <f t="shared" si="30"/>
        <v>5000</v>
      </c>
      <c r="Y66" s="346"/>
    </row>
    <row r="67" spans="1:25" ht="27.95" customHeight="1">
      <c r="A67" s="451">
        <f t="shared" si="0"/>
        <v>276</v>
      </c>
      <c r="B67" s="407" t="s">
        <v>526</v>
      </c>
      <c r="C67" s="49"/>
      <c r="D67" s="49">
        <v>650000</v>
      </c>
      <c r="E67" s="49"/>
      <c r="F67" s="49">
        <v>221850</v>
      </c>
      <c r="G67" s="49">
        <v>180000</v>
      </c>
      <c r="H67" s="50" t="s">
        <v>527</v>
      </c>
      <c r="I67" s="49"/>
      <c r="J67" s="49">
        <v>141818</v>
      </c>
      <c r="K67" s="49">
        <f t="shared" si="31"/>
        <v>141818</v>
      </c>
      <c r="L67" s="49"/>
      <c r="M67" s="46"/>
      <c r="N67" s="44"/>
      <c r="O67" s="44">
        <v>70000</v>
      </c>
      <c r="P67" s="44">
        <f t="shared" si="3"/>
        <v>70000</v>
      </c>
      <c r="Q67" s="468"/>
      <c r="R67" s="44">
        <f t="shared" si="4"/>
        <v>70000</v>
      </c>
      <c r="S67" s="46"/>
      <c r="T67" s="458">
        <v>70000</v>
      </c>
      <c r="U67" s="458"/>
      <c r="V67" s="458">
        <v>70000</v>
      </c>
      <c r="W67" s="53">
        <f t="shared" si="29"/>
        <v>70000</v>
      </c>
      <c r="X67" s="53">
        <f t="shared" si="30"/>
        <v>140000</v>
      </c>
      <c r="Y67" s="346"/>
    </row>
    <row r="68" spans="1:25" s="240" customFormat="1" ht="18.399999999999999" customHeight="1">
      <c r="A68" s="193">
        <f t="shared" si="0"/>
        <v>277</v>
      </c>
      <c r="B68" s="240" t="s">
        <v>528</v>
      </c>
      <c r="C68" s="50">
        <v>24000</v>
      </c>
      <c r="D68" s="50">
        <v>90000</v>
      </c>
      <c r="E68" s="50"/>
      <c r="F68" s="50">
        <v>30000</v>
      </c>
      <c r="G68" s="50">
        <v>30000</v>
      </c>
      <c r="H68" s="50"/>
      <c r="I68" s="50"/>
      <c r="J68" s="50">
        <v>35000</v>
      </c>
      <c r="K68" s="49">
        <f t="shared" si="31"/>
        <v>35000</v>
      </c>
      <c r="L68" s="50"/>
      <c r="M68" s="237"/>
      <c r="N68" s="59"/>
      <c r="O68" s="59">
        <v>35000</v>
      </c>
      <c r="P68" s="59">
        <f t="shared" si="3"/>
        <v>35000</v>
      </c>
      <c r="Q68" s="59"/>
      <c r="R68" s="59">
        <f t="shared" si="4"/>
        <v>35000</v>
      </c>
      <c r="S68" s="237"/>
      <c r="T68" s="458">
        <v>35000</v>
      </c>
      <c r="U68" s="458"/>
      <c r="V68" s="458">
        <v>35000</v>
      </c>
      <c r="W68" s="53">
        <f t="shared" si="29"/>
        <v>35000</v>
      </c>
      <c r="X68" s="53">
        <f t="shared" si="30"/>
        <v>70000</v>
      </c>
      <c r="Y68" s="238"/>
    </row>
    <row r="69" spans="1:25">
      <c r="A69" s="451">
        <f>A68+1</f>
        <v>278</v>
      </c>
      <c r="B69" s="407" t="s">
        <v>508</v>
      </c>
      <c r="C69" s="49"/>
      <c r="D69" s="49">
        <v>3000</v>
      </c>
      <c r="E69" s="49"/>
      <c r="F69" s="49">
        <v>1000</v>
      </c>
      <c r="G69" s="49">
        <v>1125</v>
      </c>
      <c r="H69" s="50"/>
      <c r="I69" s="49"/>
      <c r="J69" s="49">
        <v>1000</v>
      </c>
      <c r="K69" s="49">
        <f t="shared" si="31"/>
        <v>1000</v>
      </c>
      <c r="L69" s="49"/>
      <c r="M69" s="46"/>
      <c r="N69" s="44"/>
      <c r="O69" s="44">
        <v>1000</v>
      </c>
      <c r="P69" s="44">
        <f t="shared" si="3"/>
        <v>1000</v>
      </c>
      <c r="Q69" s="468"/>
      <c r="R69" s="44">
        <f t="shared" si="4"/>
        <v>1000</v>
      </c>
      <c r="S69" s="46"/>
      <c r="T69" s="458">
        <v>1000</v>
      </c>
      <c r="U69" s="458"/>
      <c r="V69" s="458">
        <v>1000</v>
      </c>
      <c r="W69" s="53">
        <f t="shared" si="29"/>
        <v>1000</v>
      </c>
      <c r="X69" s="53">
        <f t="shared" si="30"/>
        <v>2000</v>
      </c>
      <c r="Y69" s="346"/>
    </row>
    <row r="70" spans="1:25">
      <c r="A70" s="451">
        <f t="shared" si="0"/>
        <v>279</v>
      </c>
      <c r="B70" s="407" t="s">
        <v>496</v>
      </c>
      <c r="C70" s="49"/>
      <c r="D70" s="49">
        <v>1600</v>
      </c>
      <c r="E70" s="49"/>
      <c r="F70" s="49">
        <v>300</v>
      </c>
      <c r="G70" s="49">
        <v>300</v>
      </c>
      <c r="H70" s="50"/>
      <c r="I70" s="49"/>
      <c r="J70" s="49">
        <v>1000</v>
      </c>
      <c r="K70" s="49">
        <f t="shared" si="31"/>
        <v>1000</v>
      </c>
      <c r="L70" s="49"/>
      <c r="M70" s="46"/>
      <c r="N70" s="44"/>
      <c r="O70" s="44">
        <v>1000</v>
      </c>
      <c r="P70" s="44">
        <f t="shared" si="3"/>
        <v>1000</v>
      </c>
      <c r="Q70" s="468"/>
      <c r="R70" s="44">
        <f t="shared" si="4"/>
        <v>1000</v>
      </c>
      <c r="S70" s="46"/>
      <c r="T70" s="458">
        <v>1000</v>
      </c>
      <c r="U70" s="458"/>
      <c r="V70" s="458">
        <v>1000</v>
      </c>
      <c r="W70" s="53">
        <f t="shared" si="29"/>
        <v>1000</v>
      </c>
      <c r="X70" s="53">
        <f t="shared" si="30"/>
        <v>2000</v>
      </c>
      <c r="Y70" s="346"/>
    </row>
    <row r="71" spans="1:25">
      <c r="A71" s="451">
        <f t="shared" si="0"/>
        <v>280</v>
      </c>
      <c r="B71" s="407" t="s">
        <v>529</v>
      </c>
      <c r="C71" s="49"/>
      <c r="D71" s="49">
        <v>1500</v>
      </c>
      <c r="E71" s="49"/>
      <c r="F71" s="49">
        <v>500</v>
      </c>
      <c r="G71" s="49">
        <v>500</v>
      </c>
      <c r="H71" s="50"/>
      <c r="I71" s="49"/>
      <c r="J71" s="49">
        <v>500</v>
      </c>
      <c r="K71" s="49">
        <f t="shared" si="31"/>
        <v>500</v>
      </c>
      <c r="L71" s="49"/>
      <c r="M71" s="46"/>
      <c r="N71" s="44"/>
      <c r="O71" s="44">
        <v>500</v>
      </c>
      <c r="P71" s="44">
        <f t="shared" si="3"/>
        <v>500</v>
      </c>
      <c r="Q71" s="468"/>
      <c r="R71" s="44">
        <f t="shared" si="4"/>
        <v>500</v>
      </c>
      <c r="S71" s="46"/>
      <c r="T71" s="458">
        <v>500</v>
      </c>
      <c r="U71" s="458"/>
      <c r="V71" s="458">
        <v>500</v>
      </c>
      <c r="W71" s="53">
        <f t="shared" si="29"/>
        <v>500</v>
      </c>
      <c r="X71" s="53">
        <f t="shared" si="30"/>
        <v>1000</v>
      </c>
      <c r="Y71" s="346"/>
    </row>
    <row r="72" spans="1:25">
      <c r="A72" s="451">
        <f t="shared" si="0"/>
        <v>281</v>
      </c>
      <c r="B72" s="407" t="s">
        <v>530</v>
      </c>
      <c r="C72" s="49"/>
      <c r="D72" s="49">
        <v>10500</v>
      </c>
      <c r="E72" s="49"/>
      <c r="F72" s="49">
        <v>7000</v>
      </c>
      <c r="G72" s="49">
        <v>3500</v>
      </c>
      <c r="H72" s="50"/>
      <c r="I72" s="49"/>
      <c r="J72" s="49">
        <v>3500</v>
      </c>
      <c r="K72" s="49">
        <f t="shared" si="31"/>
        <v>3500</v>
      </c>
      <c r="L72" s="49"/>
      <c r="M72" s="46"/>
      <c r="N72" s="44"/>
      <c r="O72" s="44">
        <v>1500</v>
      </c>
      <c r="P72" s="44">
        <f t="shared" si="3"/>
        <v>1500</v>
      </c>
      <c r="Q72" s="468"/>
      <c r="R72" s="44">
        <f t="shared" si="4"/>
        <v>1500</v>
      </c>
      <c r="S72" s="46"/>
      <c r="T72" s="458">
        <v>1500</v>
      </c>
      <c r="U72" s="458"/>
      <c r="V72" s="458">
        <v>1500</v>
      </c>
      <c r="W72" s="53">
        <f t="shared" si="29"/>
        <v>1500</v>
      </c>
      <c r="X72" s="53">
        <f t="shared" si="30"/>
        <v>3000</v>
      </c>
      <c r="Y72" s="346"/>
    </row>
    <row r="73" spans="1:25">
      <c r="A73" s="451">
        <f t="shared" ref="A73:A136" si="32">A72+1</f>
        <v>282</v>
      </c>
      <c r="B73" s="407" t="s">
        <v>498</v>
      </c>
      <c r="C73" s="49"/>
      <c r="D73" s="49">
        <v>7500</v>
      </c>
      <c r="E73" s="49"/>
      <c r="F73" s="49">
        <v>2500</v>
      </c>
      <c r="G73" s="49">
        <v>2500</v>
      </c>
      <c r="H73" s="50"/>
      <c r="I73" s="49"/>
      <c r="J73" s="49">
        <v>2500</v>
      </c>
      <c r="K73" s="49">
        <f t="shared" si="31"/>
        <v>2500</v>
      </c>
      <c r="L73" s="49"/>
      <c r="M73" s="46"/>
      <c r="N73" s="44"/>
      <c r="O73" s="44">
        <v>2500</v>
      </c>
      <c r="P73" s="44">
        <f t="shared" si="3"/>
        <v>2500</v>
      </c>
      <c r="Q73" s="468"/>
      <c r="R73" s="44">
        <f t="shared" si="4"/>
        <v>2500</v>
      </c>
      <c r="S73" s="46"/>
      <c r="T73" s="458">
        <v>2500</v>
      </c>
      <c r="U73" s="458"/>
      <c r="V73" s="458">
        <v>2500</v>
      </c>
      <c r="W73" s="53">
        <f t="shared" si="29"/>
        <v>2500</v>
      </c>
      <c r="X73" s="53">
        <f t="shared" si="30"/>
        <v>5000</v>
      </c>
      <c r="Y73" s="346"/>
    </row>
    <row r="74" spans="1:25" s="354" customFormat="1">
      <c r="A74" s="460">
        <f t="shared" si="32"/>
        <v>283</v>
      </c>
      <c r="B74" s="461" t="s">
        <v>531</v>
      </c>
      <c r="C74" s="309">
        <f>SUM(C63:C73)</f>
        <v>885900</v>
      </c>
      <c r="D74" s="309">
        <f t="shared" ref="D74" si="33">SUM(D64:D73)</f>
        <v>876600</v>
      </c>
      <c r="E74" s="309">
        <v>211299</v>
      </c>
      <c r="F74" s="309">
        <f>SUM(F64:F73)</f>
        <v>290650</v>
      </c>
      <c r="G74" s="309">
        <f>SUM(G64:G73)</f>
        <v>224175</v>
      </c>
      <c r="H74" s="309">
        <f t="shared" ref="H74" si="34">SUM(H64:H73)</f>
        <v>0</v>
      </c>
      <c r="I74" s="309">
        <f>SUM(I64:I73)</f>
        <v>20000</v>
      </c>
      <c r="J74" s="309">
        <f>SUM(J64:J73)</f>
        <v>212818</v>
      </c>
      <c r="K74" s="309">
        <f>SUM(K64:K73)</f>
        <v>232818</v>
      </c>
      <c r="L74" s="309">
        <f>E74+G74+K74</f>
        <v>668292</v>
      </c>
      <c r="M74" s="311"/>
      <c r="N74" s="312">
        <f>SUM(N64:N73)</f>
        <v>20000</v>
      </c>
      <c r="O74" s="312">
        <f t="shared" ref="O74:P74" si="35">SUM(O64:O73)</f>
        <v>139000</v>
      </c>
      <c r="P74" s="312">
        <f t="shared" si="35"/>
        <v>159000</v>
      </c>
      <c r="Q74" s="469"/>
      <c r="R74" s="312">
        <f t="shared" si="4"/>
        <v>159000</v>
      </c>
      <c r="S74" s="311"/>
      <c r="T74" s="314">
        <f t="shared" ref="T74:Y74" si="36">SUM(T64:T73)</f>
        <v>139000</v>
      </c>
      <c r="U74" s="314">
        <f t="shared" si="36"/>
        <v>20000</v>
      </c>
      <c r="V74" s="314">
        <f t="shared" si="36"/>
        <v>139000</v>
      </c>
      <c r="W74" s="314">
        <f t="shared" si="36"/>
        <v>159000</v>
      </c>
      <c r="X74" s="314">
        <f t="shared" si="36"/>
        <v>298000</v>
      </c>
      <c r="Y74" s="314">
        <f t="shared" si="36"/>
        <v>0</v>
      </c>
    </row>
    <row r="75" spans="1:25">
      <c r="A75" s="451">
        <f t="shared" si="32"/>
        <v>284</v>
      </c>
      <c r="B75" s="407"/>
      <c r="C75" s="49"/>
      <c r="D75" s="49"/>
      <c r="E75" s="49"/>
      <c r="F75" s="49"/>
      <c r="G75" s="49"/>
      <c r="H75" s="50"/>
      <c r="I75" s="49"/>
      <c r="J75" s="49"/>
      <c r="K75" s="49"/>
      <c r="L75" s="49"/>
      <c r="M75" s="46"/>
      <c r="N75" s="44"/>
      <c r="O75" s="44"/>
      <c r="P75" s="44">
        <f t="shared" ref="P75:P86" si="37">N75+O75</f>
        <v>0</v>
      </c>
      <c r="Q75" s="468"/>
      <c r="R75" s="44">
        <f t="shared" si="4"/>
        <v>0</v>
      </c>
      <c r="S75" s="46"/>
      <c r="T75" s="346"/>
      <c r="U75" s="346"/>
      <c r="V75" s="346"/>
      <c r="W75" s="346"/>
      <c r="X75" s="346"/>
      <c r="Y75" s="346"/>
    </row>
    <row r="76" spans="1:25" ht="19.350000000000001" customHeight="1">
      <c r="A76" s="406">
        <f t="shared" si="32"/>
        <v>285</v>
      </c>
      <c r="B76" s="409" t="s">
        <v>532</v>
      </c>
      <c r="C76" s="49">
        <v>282000</v>
      </c>
      <c r="D76" s="49">
        <v>0</v>
      </c>
      <c r="E76" s="49"/>
      <c r="F76" s="49"/>
      <c r="G76" s="49"/>
      <c r="H76" s="50"/>
      <c r="I76" s="49"/>
      <c r="J76" s="49"/>
      <c r="K76" s="49"/>
      <c r="L76" s="49"/>
      <c r="M76" s="46"/>
      <c r="N76" s="44"/>
      <c r="O76" s="44"/>
      <c r="P76" s="44">
        <f t="shared" si="37"/>
        <v>0</v>
      </c>
      <c r="Q76" s="250"/>
      <c r="R76" s="44">
        <f t="shared" ref="R76:R139" si="38">P76</f>
        <v>0</v>
      </c>
      <c r="S76" s="46"/>
      <c r="T76" s="346"/>
      <c r="U76" s="346"/>
      <c r="V76" s="346"/>
      <c r="W76" s="346"/>
      <c r="X76" s="346"/>
      <c r="Y76" s="346"/>
    </row>
    <row r="77" spans="1:25">
      <c r="A77" s="451">
        <f t="shared" si="32"/>
        <v>286</v>
      </c>
      <c r="B77" s="407" t="s">
        <v>533</v>
      </c>
      <c r="C77" s="49"/>
      <c r="D77" s="49">
        <v>25000</v>
      </c>
      <c r="E77" s="49"/>
      <c r="F77" s="49"/>
      <c r="G77" s="49"/>
      <c r="H77" s="50"/>
      <c r="I77" s="49">
        <v>35000</v>
      </c>
      <c r="J77" s="49"/>
      <c r="K77" s="49">
        <f>35000</f>
        <v>35000</v>
      </c>
      <c r="L77" s="49">
        <v>35000</v>
      </c>
      <c r="M77" s="46"/>
      <c r="N77" s="44">
        <v>35000</v>
      </c>
      <c r="O77" s="44"/>
      <c r="P77" s="44">
        <f t="shared" si="37"/>
        <v>35000</v>
      </c>
      <c r="Q77" s="250"/>
      <c r="R77" s="44">
        <f t="shared" si="38"/>
        <v>35000</v>
      </c>
      <c r="S77" s="46"/>
      <c r="T77" s="458"/>
      <c r="U77" s="458">
        <v>35000</v>
      </c>
      <c r="V77" s="458"/>
      <c r="W77" s="53">
        <f t="shared" ref="W77:W86" si="39">U77+V77</f>
        <v>35000</v>
      </c>
      <c r="X77" s="53">
        <f t="shared" ref="X77:X86" si="40">T77+W77</f>
        <v>35000</v>
      </c>
      <c r="Y77" s="346"/>
    </row>
    <row r="78" spans="1:25">
      <c r="A78" s="451">
        <f t="shared" si="32"/>
        <v>287</v>
      </c>
      <c r="B78" s="407" t="s">
        <v>267</v>
      </c>
      <c r="C78" s="49"/>
      <c r="D78" s="49">
        <v>180000</v>
      </c>
      <c r="E78" s="49"/>
      <c r="F78" s="49">
        <v>40000</v>
      </c>
      <c r="G78" s="49">
        <v>40000</v>
      </c>
      <c r="H78" s="50"/>
      <c r="I78" s="49"/>
      <c r="J78" s="49">
        <v>40000</v>
      </c>
      <c r="K78" s="49">
        <f>J78</f>
        <v>40000</v>
      </c>
      <c r="L78" s="49"/>
      <c r="M78" s="46"/>
      <c r="N78" s="44"/>
      <c r="O78" s="44">
        <v>42000</v>
      </c>
      <c r="P78" s="44">
        <f t="shared" si="37"/>
        <v>42000</v>
      </c>
      <c r="Q78" s="250"/>
      <c r="R78" s="44">
        <f t="shared" si="38"/>
        <v>42000</v>
      </c>
      <c r="S78" s="46"/>
      <c r="T78" s="458">
        <v>42000</v>
      </c>
      <c r="U78" s="458"/>
      <c r="V78" s="458">
        <v>42000</v>
      </c>
      <c r="W78" s="53">
        <f t="shared" si="39"/>
        <v>42000</v>
      </c>
      <c r="X78" s="53">
        <f t="shared" si="40"/>
        <v>84000</v>
      </c>
      <c r="Y78" s="346"/>
    </row>
    <row r="79" spans="1:25" ht="20.45" customHeight="1">
      <c r="A79" s="451">
        <f t="shared" si="32"/>
        <v>288</v>
      </c>
      <c r="B79" s="407" t="s">
        <v>534</v>
      </c>
      <c r="C79" s="49"/>
      <c r="D79" s="49">
        <v>180000</v>
      </c>
      <c r="E79" s="49"/>
      <c r="F79" s="49">
        <v>68000</v>
      </c>
      <c r="G79" s="49">
        <f>68000*0.85</f>
        <v>57800</v>
      </c>
      <c r="H79" s="50" t="s">
        <v>168</v>
      </c>
      <c r="I79" s="49"/>
      <c r="J79" s="49">
        <v>60000</v>
      </c>
      <c r="K79" s="49">
        <f t="shared" ref="K79:K86" si="41">J79</f>
        <v>60000</v>
      </c>
      <c r="L79" s="49"/>
      <c r="M79" s="46"/>
      <c r="N79" s="44"/>
      <c r="O79" s="44">
        <v>63000</v>
      </c>
      <c r="P79" s="44">
        <f t="shared" si="37"/>
        <v>63000</v>
      </c>
      <c r="Q79" s="250"/>
      <c r="R79" s="44">
        <f t="shared" si="38"/>
        <v>63000</v>
      </c>
      <c r="S79" s="46"/>
      <c r="T79" s="458">
        <v>63000</v>
      </c>
      <c r="U79" s="458"/>
      <c r="V79" s="458">
        <v>63000</v>
      </c>
      <c r="W79" s="53">
        <f t="shared" si="39"/>
        <v>63000</v>
      </c>
      <c r="X79" s="53">
        <f t="shared" si="40"/>
        <v>126000</v>
      </c>
      <c r="Y79" s="346"/>
    </row>
    <row r="80" spans="1:25">
      <c r="A80" s="451">
        <f t="shared" si="32"/>
        <v>289</v>
      </c>
      <c r="B80" s="407" t="s">
        <v>482</v>
      </c>
      <c r="C80" s="49"/>
      <c r="D80" s="49">
        <v>9000</v>
      </c>
      <c r="E80" s="49"/>
      <c r="F80" s="49">
        <v>3900</v>
      </c>
      <c r="G80" s="49">
        <v>1000</v>
      </c>
      <c r="H80" s="50"/>
      <c r="I80" s="49"/>
      <c r="J80" s="49">
        <v>3000</v>
      </c>
      <c r="K80" s="49">
        <f t="shared" si="41"/>
        <v>3000</v>
      </c>
      <c r="L80" s="49"/>
      <c r="M80" s="46"/>
      <c r="N80" s="44"/>
      <c r="O80" s="44">
        <v>3150</v>
      </c>
      <c r="P80" s="44">
        <f t="shared" si="37"/>
        <v>3150</v>
      </c>
      <c r="Q80" s="250"/>
      <c r="R80" s="44">
        <f t="shared" si="38"/>
        <v>3150</v>
      </c>
      <c r="S80" s="46"/>
      <c r="T80" s="458">
        <v>3150</v>
      </c>
      <c r="U80" s="458"/>
      <c r="V80" s="458">
        <v>3150</v>
      </c>
      <c r="W80" s="53">
        <f t="shared" si="39"/>
        <v>3150</v>
      </c>
      <c r="X80" s="53">
        <f t="shared" si="40"/>
        <v>6300</v>
      </c>
      <c r="Y80" s="346"/>
    </row>
    <row r="81" spans="1:25">
      <c r="A81" s="451">
        <f t="shared" si="32"/>
        <v>290</v>
      </c>
      <c r="B81" s="407" t="s">
        <v>485</v>
      </c>
      <c r="C81" s="49"/>
      <c r="D81" s="49">
        <v>900</v>
      </c>
      <c r="E81" s="49"/>
      <c r="F81" s="49">
        <v>200</v>
      </c>
      <c r="G81" s="49">
        <v>200</v>
      </c>
      <c r="H81" s="50"/>
      <c r="I81" s="49"/>
      <c r="J81" s="49">
        <v>500</v>
      </c>
      <c r="K81" s="49">
        <f t="shared" si="41"/>
        <v>500</v>
      </c>
      <c r="L81" s="49"/>
      <c r="M81" s="46"/>
      <c r="N81" s="44"/>
      <c r="O81" s="44">
        <v>200</v>
      </c>
      <c r="P81" s="44">
        <f t="shared" si="37"/>
        <v>200</v>
      </c>
      <c r="Q81" s="250"/>
      <c r="R81" s="44">
        <f t="shared" si="38"/>
        <v>200</v>
      </c>
      <c r="S81" s="46"/>
      <c r="T81" s="458">
        <v>200</v>
      </c>
      <c r="U81" s="458"/>
      <c r="V81" s="458">
        <v>200</v>
      </c>
      <c r="W81" s="53">
        <f t="shared" si="39"/>
        <v>200</v>
      </c>
      <c r="X81" s="53">
        <f t="shared" si="40"/>
        <v>400</v>
      </c>
      <c r="Y81" s="346"/>
    </row>
    <row r="82" spans="1:25">
      <c r="A82" s="451">
        <f t="shared" si="32"/>
        <v>291</v>
      </c>
      <c r="B82" s="407" t="s">
        <v>484</v>
      </c>
      <c r="C82" s="49"/>
      <c r="D82" s="49">
        <v>9000</v>
      </c>
      <c r="E82" s="49"/>
      <c r="F82" s="49">
        <v>3000</v>
      </c>
      <c r="G82" s="49">
        <v>3000</v>
      </c>
      <c r="H82" s="50"/>
      <c r="I82" s="49"/>
      <c r="J82" s="49">
        <v>3000</v>
      </c>
      <c r="K82" s="49">
        <f t="shared" si="41"/>
        <v>3000</v>
      </c>
      <c r="L82" s="49"/>
      <c r="M82" s="46"/>
      <c r="N82" s="44"/>
      <c r="O82" s="44">
        <v>3150</v>
      </c>
      <c r="P82" s="44">
        <f t="shared" si="37"/>
        <v>3150</v>
      </c>
      <c r="Q82" s="250"/>
      <c r="R82" s="44">
        <f t="shared" si="38"/>
        <v>3150</v>
      </c>
      <c r="S82" s="46"/>
      <c r="T82" s="458">
        <v>3150</v>
      </c>
      <c r="U82" s="458"/>
      <c r="V82" s="458">
        <v>3150</v>
      </c>
      <c r="W82" s="53">
        <f t="shared" si="39"/>
        <v>3150</v>
      </c>
      <c r="X82" s="53">
        <f t="shared" si="40"/>
        <v>6300</v>
      </c>
      <c r="Y82" s="346"/>
    </row>
    <row r="83" spans="1:25">
      <c r="A83" s="451">
        <f t="shared" si="32"/>
        <v>292</v>
      </c>
      <c r="B83" s="407" t="s">
        <v>496</v>
      </c>
      <c r="C83" s="49"/>
      <c r="D83" s="49">
        <v>3000</v>
      </c>
      <c r="E83" s="49"/>
      <c r="F83" s="49">
        <v>1000</v>
      </c>
      <c r="G83" s="49">
        <v>1000</v>
      </c>
      <c r="H83" s="50"/>
      <c r="I83" s="49"/>
      <c r="J83" s="49">
        <v>1000</v>
      </c>
      <c r="K83" s="49">
        <f t="shared" si="41"/>
        <v>1000</v>
      </c>
      <c r="L83" s="49"/>
      <c r="M83" s="46"/>
      <c r="N83" s="44"/>
      <c r="O83" s="44">
        <v>1000</v>
      </c>
      <c r="P83" s="44">
        <f t="shared" si="37"/>
        <v>1000</v>
      </c>
      <c r="Q83" s="250"/>
      <c r="R83" s="44">
        <f t="shared" si="38"/>
        <v>1000</v>
      </c>
      <c r="S83" s="46"/>
      <c r="T83" s="458">
        <v>1000</v>
      </c>
      <c r="U83" s="458"/>
      <c r="V83" s="458">
        <v>1000</v>
      </c>
      <c r="W83" s="53">
        <f t="shared" si="39"/>
        <v>1000</v>
      </c>
      <c r="X83" s="53">
        <f t="shared" si="40"/>
        <v>2000</v>
      </c>
      <c r="Y83" s="346"/>
    </row>
    <row r="84" spans="1:25">
      <c r="A84" s="451">
        <f t="shared" si="32"/>
        <v>293</v>
      </c>
      <c r="B84" s="407" t="s">
        <v>529</v>
      </c>
      <c r="C84" s="49"/>
      <c r="D84" s="49">
        <v>3000</v>
      </c>
      <c r="E84" s="49"/>
      <c r="F84" s="49">
        <v>1000</v>
      </c>
      <c r="G84" s="49">
        <v>1000</v>
      </c>
      <c r="H84" s="50"/>
      <c r="I84" s="49"/>
      <c r="J84" s="49">
        <v>1000</v>
      </c>
      <c r="K84" s="49">
        <f t="shared" si="41"/>
        <v>1000</v>
      </c>
      <c r="L84" s="49"/>
      <c r="M84" s="46"/>
      <c r="N84" s="44"/>
      <c r="O84" s="44">
        <v>1000</v>
      </c>
      <c r="P84" s="44">
        <f t="shared" si="37"/>
        <v>1000</v>
      </c>
      <c r="Q84" s="250"/>
      <c r="R84" s="44">
        <f t="shared" si="38"/>
        <v>1000</v>
      </c>
      <c r="S84" s="46"/>
      <c r="T84" s="458">
        <v>1000</v>
      </c>
      <c r="U84" s="458"/>
      <c r="V84" s="458">
        <v>1000</v>
      </c>
      <c r="W84" s="53">
        <f t="shared" si="39"/>
        <v>1000</v>
      </c>
      <c r="X84" s="53">
        <f t="shared" si="40"/>
        <v>2000</v>
      </c>
      <c r="Y84" s="346"/>
    </row>
    <row r="85" spans="1:25">
      <c r="A85" s="451">
        <f t="shared" si="32"/>
        <v>294</v>
      </c>
      <c r="B85" s="407" t="s">
        <v>530</v>
      </c>
      <c r="C85" s="49"/>
      <c r="D85" s="49">
        <v>21000</v>
      </c>
      <c r="E85" s="49"/>
      <c r="F85" s="49">
        <v>7000</v>
      </c>
      <c r="G85" s="49">
        <v>0</v>
      </c>
      <c r="H85" s="50"/>
      <c r="I85" s="49"/>
      <c r="J85" s="49">
        <v>10000</v>
      </c>
      <c r="K85" s="49">
        <f t="shared" si="41"/>
        <v>10000</v>
      </c>
      <c r="L85" s="49"/>
      <c r="M85" s="46"/>
      <c r="N85" s="44"/>
      <c r="O85" s="44">
        <v>7000</v>
      </c>
      <c r="P85" s="44">
        <f t="shared" si="37"/>
        <v>7000</v>
      </c>
      <c r="Q85" s="250"/>
      <c r="R85" s="44">
        <f t="shared" si="38"/>
        <v>7000</v>
      </c>
      <c r="S85" s="46"/>
      <c r="T85" s="458">
        <v>7000</v>
      </c>
      <c r="U85" s="458"/>
      <c r="V85" s="458">
        <v>7000</v>
      </c>
      <c r="W85" s="53">
        <f t="shared" si="39"/>
        <v>7000</v>
      </c>
      <c r="X85" s="53">
        <f t="shared" si="40"/>
        <v>14000</v>
      </c>
      <c r="Y85" s="346"/>
    </row>
    <row r="86" spans="1:25">
      <c r="A86" s="451">
        <f t="shared" si="32"/>
        <v>295</v>
      </c>
      <c r="B86" s="407" t="s">
        <v>498</v>
      </c>
      <c r="C86" s="49"/>
      <c r="D86" s="49">
        <v>18900</v>
      </c>
      <c r="E86" s="49"/>
      <c r="F86" s="49">
        <v>6300</v>
      </c>
      <c r="G86" s="49">
        <v>6300</v>
      </c>
      <c r="H86" s="50"/>
      <c r="I86" s="49"/>
      <c r="J86" s="49">
        <v>6300</v>
      </c>
      <c r="K86" s="49">
        <f t="shared" si="41"/>
        <v>6300</v>
      </c>
      <c r="L86" s="49"/>
      <c r="M86" s="46"/>
      <c r="N86" s="44"/>
      <c r="O86" s="44">
        <v>6615</v>
      </c>
      <c r="P86" s="44">
        <f t="shared" si="37"/>
        <v>6615</v>
      </c>
      <c r="Q86" s="250"/>
      <c r="R86" s="44">
        <f t="shared" si="38"/>
        <v>6615</v>
      </c>
      <c r="S86" s="46"/>
      <c r="T86" s="458">
        <v>6615</v>
      </c>
      <c r="U86" s="458"/>
      <c r="V86" s="458">
        <v>6615</v>
      </c>
      <c r="W86" s="53">
        <f t="shared" si="39"/>
        <v>6615</v>
      </c>
      <c r="X86" s="53">
        <f t="shared" si="40"/>
        <v>13230</v>
      </c>
      <c r="Y86" s="346"/>
    </row>
    <row r="87" spans="1:25" s="354" customFormat="1">
      <c r="A87" s="460">
        <f t="shared" si="32"/>
        <v>296</v>
      </c>
      <c r="B87" s="461" t="s">
        <v>535</v>
      </c>
      <c r="C87" s="309">
        <f>SUM(C76:C86)</f>
        <v>282000</v>
      </c>
      <c r="D87" s="309">
        <f t="shared" ref="D87:K87" si="42">SUM(D77:D86)</f>
        <v>449800</v>
      </c>
      <c r="E87" s="309">
        <v>84260</v>
      </c>
      <c r="F87" s="309">
        <f t="shared" si="42"/>
        <v>130400</v>
      </c>
      <c r="G87" s="309">
        <f t="shared" si="42"/>
        <v>110300</v>
      </c>
      <c r="H87" s="310"/>
      <c r="I87" s="309">
        <f t="shared" si="42"/>
        <v>35000</v>
      </c>
      <c r="J87" s="309">
        <f t="shared" si="42"/>
        <v>124800</v>
      </c>
      <c r="K87" s="309">
        <f t="shared" si="42"/>
        <v>159800</v>
      </c>
      <c r="L87" s="309">
        <f>E87+G87+K87</f>
        <v>354360</v>
      </c>
      <c r="M87" s="311"/>
      <c r="N87" s="312">
        <f t="shared" ref="N87:P87" si="43">SUM(N77:N86)</f>
        <v>35000</v>
      </c>
      <c r="O87" s="312">
        <f t="shared" si="43"/>
        <v>127115</v>
      </c>
      <c r="P87" s="312">
        <f t="shared" si="43"/>
        <v>162115</v>
      </c>
      <c r="Q87" s="462"/>
      <c r="R87" s="312">
        <f t="shared" si="38"/>
        <v>162115</v>
      </c>
      <c r="S87" s="311"/>
      <c r="T87" s="314">
        <f t="shared" ref="T87:Y87" si="44">SUM(T77:T86)</f>
        <v>127115</v>
      </c>
      <c r="U87" s="314">
        <f t="shared" si="44"/>
        <v>35000</v>
      </c>
      <c r="V87" s="314">
        <f t="shared" si="44"/>
        <v>127115</v>
      </c>
      <c r="W87" s="314">
        <f t="shared" si="44"/>
        <v>162115</v>
      </c>
      <c r="X87" s="314">
        <f t="shared" si="44"/>
        <v>289230</v>
      </c>
      <c r="Y87" s="314">
        <f t="shared" si="44"/>
        <v>0</v>
      </c>
    </row>
    <row r="88" spans="1:25">
      <c r="A88" s="451">
        <f t="shared" si="32"/>
        <v>297</v>
      </c>
      <c r="B88" s="407"/>
      <c r="C88" s="49"/>
      <c r="D88" s="49"/>
      <c r="E88" s="49"/>
      <c r="F88" s="49"/>
      <c r="G88" s="49"/>
      <c r="H88" s="50"/>
      <c r="I88" s="49"/>
      <c r="J88" s="49"/>
      <c r="K88" s="49"/>
      <c r="L88" s="49"/>
      <c r="M88" s="46"/>
      <c r="N88" s="44"/>
      <c r="O88" s="44"/>
      <c r="P88" s="44">
        <f t="shared" ref="P88:P143" si="45">N88+O88</f>
        <v>0</v>
      </c>
      <c r="Q88" s="250"/>
      <c r="R88" s="44">
        <f t="shared" si="38"/>
        <v>0</v>
      </c>
      <c r="S88" s="46"/>
      <c r="T88" s="346"/>
      <c r="U88" s="346"/>
      <c r="V88" s="346"/>
      <c r="W88" s="346"/>
      <c r="X88" s="346"/>
      <c r="Y88" s="346"/>
    </row>
    <row r="89" spans="1:25">
      <c r="A89" s="470">
        <f t="shared" si="32"/>
        <v>298</v>
      </c>
      <c r="B89" s="471" t="s">
        <v>536</v>
      </c>
      <c r="C89" s="49"/>
      <c r="D89" s="49"/>
      <c r="E89" s="49"/>
      <c r="F89" s="49"/>
      <c r="G89" s="49"/>
      <c r="H89" s="50"/>
      <c r="I89" s="49"/>
      <c r="J89" s="49"/>
      <c r="K89" s="49"/>
      <c r="L89" s="49"/>
      <c r="M89" s="46"/>
      <c r="N89" s="44"/>
      <c r="O89" s="44"/>
      <c r="P89" s="44">
        <f t="shared" si="45"/>
        <v>0</v>
      </c>
      <c r="Q89" s="465"/>
      <c r="R89" s="44">
        <f t="shared" si="38"/>
        <v>0</v>
      </c>
      <c r="S89" s="46"/>
      <c r="T89" s="346"/>
      <c r="U89" s="346"/>
      <c r="V89" s="346"/>
      <c r="W89" s="346"/>
      <c r="X89" s="346"/>
      <c r="Y89" s="346"/>
    </row>
    <row r="90" spans="1:25">
      <c r="A90" s="451">
        <f t="shared" si="32"/>
        <v>299</v>
      </c>
      <c r="B90" s="407" t="s">
        <v>179</v>
      </c>
      <c r="C90" s="49"/>
      <c r="D90" s="49">
        <v>6000</v>
      </c>
      <c r="E90" s="49"/>
      <c r="F90" s="49">
        <v>0</v>
      </c>
      <c r="G90" s="49">
        <v>0</v>
      </c>
      <c r="H90" s="50"/>
      <c r="I90" s="49">
        <v>4000</v>
      </c>
      <c r="J90" s="49"/>
      <c r="K90" s="49">
        <v>4000</v>
      </c>
      <c r="L90" s="49"/>
      <c r="M90" s="46"/>
      <c r="N90" s="44">
        <v>4000</v>
      </c>
      <c r="O90" s="44"/>
      <c r="P90" s="44">
        <f t="shared" si="45"/>
        <v>4000</v>
      </c>
      <c r="Q90" s="250"/>
      <c r="R90" s="44">
        <f t="shared" si="38"/>
        <v>4000</v>
      </c>
      <c r="S90" s="46"/>
      <c r="T90" s="458"/>
      <c r="U90" s="458">
        <v>6000</v>
      </c>
      <c r="V90" s="458"/>
      <c r="W90" s="53">
        <f t="shared" ref="W90:W99" si="46">U90+V90</f>
        <v>6000</v>
      </c>
      <c r="X90" s="53">
        <f t="shared" ref="X90:X99" si="47">T90+W90</f>
        <v>6000</v>
      </c>
      <c r="Y90" s="346"/>
    </row>
    <row r="91" spans="1:25">
      <c r="A91" s="463">
        <f t="shared" si="32"/>
        <v>300</v>
      </c>
      <c r="B91" s="464" t="s">
        <v>267</v>
      </c>
      <c r="C91" s="49"/>
      <c r="D91" s="49">
        <v>13500</v>
      </c>
      <c r="E91" s="49"/>
      <c r="F91" s="49">
        <v>0</v>
      </c>
      <c r="G91" s="49">
        <v>0</v>
      </c>
      <c r="H91" s="50"/>
      <c r="I91" s="49"/>
      <c r="J91" s="49"/>
      <c r="K91" s="49"/>
      <c r="L91" s="49"/>
      <c r="M91" s="46"/>
      <c r="N91" s="44"/>
      <c r="O91" s="44">
        <v>0</v>
      </c>
      <c r="P91" s="44">
        <f t="shared" si="45"/>
        <v>0</v>
      </c>
      <c r="Q91" s="250"/>
      <c r="R91" s="44">
        <f t="shared" si="38"/>
        <v>0</v>
      </c>
      <c r="S91" s="46"/>
      <c r="T91" s="458">
        <v>0</v>
      </c>
      <c r="U91" s="458"/>
      <c r="V91" s="458">
        <v>0</v>
      </c>
      <c r="W91" s="53">
        <f t="shared" si="46"/>
        <v>0</v>
      </c>
      <c r="X91" s="53">
        <f t="shared" si="47"/>
        <v>0</v>
      </c>
      <c r="Y91" s="346"/>
    </row>
    <row r="92" spans="1:25" ht="25.35" customHeight="1">
      <c r="A92" s="463">
        <f t="shared" si="32"/>
        <v>301</v>
      </c>
      <c r="B92" s="464" t="s">
        <v>428</v>
      </c>
      <c r="C92" s="49"/>
      <c r="D92" s="49">
        <v>18000</v>
      </c>
      <c r="E92" s="49"/>
      <c r="F92" s="49">
        <v>7500</v>
      </c>
      <c r="G92" s="49">
        <v>5500</v>
      </c>
      <c r="H92" s="50" t="s">
        <v>537</v>
      </c>
      <c r="I92" s="49"/>
      <c r="J92" s="49">
        <v>7500</v>
      </c>
      <c r="K92" s="49">
        <f>J92</f>
        <v>7500</v>
      </c>
      <c r="L92" s="49"/>
      <c r="M92" s="46"/>
      <c r="N92" s="44"/>
      <c r="O92" s="44">
        <v>7500</v>
      </c>
      <c r="P92" s="44">
        <f t="shared" si="45"/>
        <v>7500</v>
      </c>
      <c r="Q92" s="250"/>
      <c r="R92" s="44">
        <f t="shared" si="38"/>
        <v>7500</v>
      </c>
      <c r="S92" s="46"/>
      <c r="T92" s="458">
        <v>7500</v>
      </c>
      <c r="U92" s="458"/>
      <c r="V92" s="458">
        <v>7500</v>
      </c>
      <c r="W92" s="53">
        <f t="shared" si="46"/>
        <v>7500</v>
      </c>
      <c r="X92" s="53">
        <f t="shared" si="47"/>
        <v>15000</v>
      </c>
      <c r="Y92" s="346"/>
    </row>
    <row r="93" spans="1:25">
      <c r="A93" s="463">
        <f t="shared" si="32"/>
        <v>302</v>
      </c>
      <c r="B93" s="464" t="s">
        <v>538</v>
      </c>
      <c r="C93" s="49"/>
      <c r="D93" s="49">
        <v>3000</v>
      </c>
      <c r="E93" s="49"/>
      <c r="F93" s="49">
        <v>1000</v>
      </c>
      <c r="G93" s="49">
        <v>0</v>
      </c>
      <c r="H93" s="50"/>
      <c r="I93" s="49"/>
      <c r="J93" s="49">
        <v>1000</v>
      </c>
      <c r="K93" s="49">
        <f t="shared" ref="K93:K99" si="48">J93</f>
        <v>1000</v>
      </c>
      <c r="L93" s="49"/>
      <c r="M93" s="46"/>
      <c r="N93" s="44"/>
      <c r="O93" s="44">
        <v>1000</v>
      </c>
      <c r="P93" s="44">
        <f t="shared" si="45"/>
        <v>1000</v>
      </c>
      <c r="Q93" s="250"/>
      <c r="R93" s="44">
        <f t="shared" si="38"/>
        <v>1000</v>
      </c>
      <c r="S93" s="46"/>
      <c r="T93" s="458">
        <v>1000</v>
      </c>
      <c r="U93" s="458"/>
      <c r="V93" s="458">
        <v>1000</v>
      </c>
      <c r="W93" s="53">
        <f t="shared" si="46"/>
        <v>1000</v>
      </c>
      <c r="X93" s="53">
        <f t="shared" si="47"/>
        <v>2000</v>
      </c>
      <c r="Y93" s="346"/>
    </row>
    <row r="94" spans="1:25">
      <c r="A94" s="463">
        <f t="shared" si="32"/>
        <v>303</v>
      </c>
      <c r="B94" s="464" t="s">
        <v>539</v>
      </c>
      <c r="C94" s="49"/>
      <c r="D94" s="49">
        <v>30000</v>
      </c>
      <c r="E94" s="49"/>
      <c r="F94" s="49">
        <v>26700</v>
      </c>
      <c r="G94" s="49">
        <v>26700</v>
      </c>
      <c r="H94" s="50"/>
      <c r="I94" s="49"/>
      <c r="J94" s="49">
        <v>26700</v>
      </c>
      <c r="K94" s="49">
        <f t="shared" si="48"/>
        <v>26700</v>
      </c>
      <c r="L94" s="49"/>
      <c r="M94" s="46"/>
      <c r="N94" s="44"/>
      <c r="O94" s="44">
        <v>26500</v>
      </c>
      <c r="P94" s="44">
        <f t="shared" si="45"/>
        <v>26500</v>
      </c>
      <c r="Q94" s="250"/>
      <c r="R94" s="44">
        <f t="shared" si="38"/>
        <v>26500</v>
      </c>
      <c r="S94" s="46"/>
      <c r="T94" s="458">
        <v>26500</v>
      </c>
      <c r="U94" s="458"/>
      <c r="V94" s="458">
        <v>26500</v>
      </c>
      <c r="W94" s="53">
        <f t="shared" si="46"/>
        <v>26500</v>
      </c>
      <c r="X94" s="53">
        <f t="shared" si="47"/>
        <v>53000</v>
      </c>
      <c r="Y94" s="346"/>
    </row>
    <row r="95" spans="1:25">
      <c r="A95" s="463">
        <f t="shared" si="32"/>
        <v>304</v>
      </c>
      <c r="B95" s="464" t="s">
        <v>540</v>
      </c>
      <c r="C95" s="49"/>
      <c r="D95" s="49">
        <v>19200</v>
      </c>
      <c r="E95" s="49"/>
      <c r="F95" s="49">
        <v>0</v>
      </c>
      <c r="G95" s="49">
        <v>0</v>
      </c>
      <c r="H95" s="50"/>
      <c r="I95" s="49"/>
      <c r="J95" s="49"/>
      <c r="K95" s="49">
        <f t="shared" si="48"/>
        <v>0</v>
      </c>
      <c r="L95" s="49"/>
      <c r="M95" s="46"/>
      <c r="N95" s="44"/>
      <c r="O95" s="44">
        <v>0</v>
      </c>
      <c r="P95" s="44">
        <f t="shared" si="45"/>
        <v>0</v>
      </c>
      <c r="Q95" s="250"/>
      <c r="R95" s="44">
        <f t="shared" si="38"/>
        <v>0</v>
      </c>
      <c r="S95" s="46"/>
      <c r="T95" s="458">
        <v>0</v>
      </c>
      <c r="U95" s="458"/>
      <c r="V95" s="458">
        <v>0</v>
      </c>
      <c r="W95" s="53">
        <f t="shared" si="46"/>
        <v>0</v>
      </c>
      <c r="X95" s="53">
        <f t="shared" si="47"/>
        <v>0</v>
      </c>
      <c r="Y95" s="346"/>
    </row>
    <row r="96" spans="1:25">
      <c r="A96" s="463">
        <f t="shared" si="32"/>
        <v>305</v>
      </c>
      <c r="B96" s="464" t="s">
        <v>484</v>
      </c>
      <c r="C96" s="49"/>
      <c r="D96" s="49">
        <v>3000</v>
      </c>
      <c r="E96" s="49"/>
      <c r="F96" s="49">
        <v>1000</v>
      </c>
      <c r="G96" s="49">
        <v>1000</v>
      </c>
      <c r="H96" s="50"/>
      <c r="I96" s="49"/>
      <c r="J96" s="49">
        <v>1000</v>
      </c>
      <c r="K96" s="49">
        <f t="shared" si="48"/>
        <v>1000</v>
      </c>
      <c r="L96" s="49"/>
      <c r="M96" s="46"/>
      <c r="N96" s="44"/>
      <c r="O96" s="44">
        <v>1000</v>
      </c>
      <c r="P96" s="44">
        <f t="shared" si="45"/>
        <v>1000</v>
      </c>
      <c r="Q96" s="250"/>
      <c r="R96" s="44">
        <f t="shared" si="38"/>
        <v>1000</v>
      </c>
      <c r="S96" s="46"/>
      <c r="T96" s="458">
        <v>1000</v>
      </c>
      <c r="U96" s="458"/>
      <c r="V96" s="458">
        <v>1000</v>
      </c>
      <c r="W96" s="53">
        <f t="shared" si="46"/>
        <v>1000</v>
      </c>
      <c r="X96" s="53">
        <f t="shared" si="47"/>
        <v>2000</v>
      </c>
      <c r="Y96" s="346"/>
    </row>
    <row r="97" spans="1:25">
      <c r="A97" s="463">
        <f t="shared" si="32"/>
        <v>306</v>
      </c>
      <c r="B97" s="464" t="s">
        <v>496</v>
      </c>
      <c r="C97" s="49"/>
      <c r="D97" s="49">
        <v>3000</v>
      </c>
      <c r="E97" s="49"/>
      <c r="F97" s="49">
        <v>0</v>
      </c>
      <c r="G97" s="49">
        <v>0</v>
      </c>
      <c r="H97" s="50"/>
      <c r="I97" s="49"/>
      <c r="J97" s="49"/>
      <c r="K97" s="49">
        <f t="shared" si="48"/>
        <v>0</v>
      </c>
      <c r="L97" s="49"/>
      <c r="M97" s="46"/>
      <c r="N97" s="44"/>
      <c r="O97" s="44">
        <v>125</v>
      </c>
      <c r="P97" s="44">
        <f t="shared" si="45"/>
        <v>125</v>
      </c>
      <c r="Q97" s="250"/>
      <c r="R97" s="44">
        <f t="shared" si="38"/>
        <v>125</v>
      </c>
      <c r="S97" s="46"/>
      <c r="T97" s="458">
        <v>125</v>
      </c>
      <c r="U97" s="458"/>
      <c r="V97" s="458">
        <v>125</v>
      </c>
      <c r="W97" s="53">
        <f t="shared" si="46"/>
        <v>125</v>
      </c>
      <c r="X97" s="53">
        <f t="shared" si="47"/>
        <v>250</v>
      </c>
      <c r="Y97" s="346"/>
    </row>
    <row r="98" spans="1:25">
      <c r="A98" s="463">
        <f t="shared" si="32"/>
        <v>307</v>
      </c>
      <c r="B98" s="464" t="s">
        <v>509</v>
      </c>
      <c r="C98" s="49"/>
      <c r="D98" s="49">
        <v>6000</v>
      </c>
      <c r="E98" s="49"/>
      <c r="F98" s="49">
        <v>3500</v>
      </c>
      <c r="G98" s="49">
        <v>1500</v>
      </c>
      <c r="H98" s="50"/>
      <c r="I98" s="49"/>
      <c r="J98" s="49">
        <v>3500</v>
      </c>
      <c r="K98" s="49">
        <f t="shared" si="48"/>
        <v>3500</v>
      </c>
      <c r="L98" s="49"/>
      <c r="M98" s="46"/>
      <c r="N98" s="44"/>
      <c r="O98" s="44">
        <v>500</v>
      </c>
      <c r="P98" s="44">
        <f t="shared" si="45"/>
        <v>500</v>
      </c>
      <c r="Q98" s="250"/>
      <c r="R98" s="44">
        <f t="shared" si="38"/>
        <v>500</v>
      </c>
      <c r="S98" s="46"/>
      <c r="T98" s="458">
        <v>500</v>
      </c>
      <c r="U98" s="458"/>
      <c r="V98" s="458">
        <v>500</v>
      </c>
      <c r="W98" s="53">
        <f t="shared" si="46"/>
        <v>500</v>
      </c>
      <c r="X98" s="53">
        <f t="shared" si="47"/>
        <v>1000</v>
      </c>
      <c r="Y98" s="346"/>
    </row>
    <row r="99" spans="1:25">
      <c r="A99" s="451">
        <f t="shared" si="32"/>
        <v>308</v>
      </c>
      <c r="B99" s="407" t="s">
        <v>498</v>
      </c>
      <c r="C99" s="49"/>
      <c r="D99" s="49">
        <v>9000</v>
      </c>
      <c r="E99" s="49"/>
      <c r="F99" s="49">
        <v>3000</v>
      </c>
      <c r="G99" s="49">
        <v>3000</v>
      </c>
      <c r="H99" s="472"/>
      <c r="I99" s="49"/>
      <c r="J99" s="49">
        <v>3000</v>
      </c>
      <c r="K99" s="49">
        <f t="shared" si="48"/>
        <v>3000</v>
      </c>
      <c r="L99" s="49"/>
      <c r="M99" s="46"/>
      <c r="N99" s="44"/>
      <c r="O99" s="44">
        <v>2500</v>
      </c>
      <c r="P99" s="44">
        <f t="shared" si="45"/>
        <v>2500</v>
      </c>
      <c r="Q99" s="250"/>
      <c r="R99" s="44">
        <f t="shared" si="38"/>
        <v>2500</v>
      </c>
      <c r="S99" s="46"/>
      <c r="T99" s="458">
        <v>2500</v>
      </c>
      <c r="U99" s="458"/>
      <c r="V99" s="458">
        <v>2500</v>
      </c>
      <c r="W99" s="53">
        <f t="shared" si="46"/>
        <v>2500</v>
      </c>
      <c r="X99" s="53">
        <f t="shared" si="47"/>
        <v>5000</v>
      </c>
      <c r="Y99" s="346"/>
    </row>
    <row r="100" spans="1:25" s="354" customFormat="1">
      <c r="A100" s="460">
        <f t="shared" si="32"/>
        <v>309</v>
      </c>
      <c r="B100" s="461" t="s">
        <v>541</v>
      </c>
      <c r="C100" s="309"/>
      <c r="D100" s="309">
        <v>110700</v>
      </c>
      <c r="E100" s="309">
        <v>25718</v>
      </c>
      <c r="F100" s="309">
        <f t="shared" ref="F100:K100" si="49">SUM(F90:F99)</f>
        <v>42700</v>
      </c>
      <c r="G100" s="309">
        <f t="shared" si="49"/>
        <v>37700</v>
      </c>
      <c r="H100" s="339"/>
      <c r="I100" s="309">
        <f t="shared" si="49"/>
        <v>4000</v>
      </c>
      <c r="J100" s="309">
        <f t="shared" si="49"/>
        <v>42700</v>
      </c>
      <c r="K100" s="309">
        <f t="shared" si="49"/>
        <v>46700</v>
      </c>
      <c r="L100" s="309">
        <f>E100+G100+K100</f>
        <v>110118</v>
      </c>
      <c r="M100" s="311"/>
      <c r="N100" s="312">
        <f t="shared" ref="N100:P100" si="50">SUM(N90:N99)</f>
        <v>4000</v>
      </c>
      <c r="O100" s="312">
        <f t="shared" si="50"/>
        <v>39125</v>
      </c>
      <c r="P100" s="312">
        <f t="shared" si="50"/>
        <v>43125</v>
      </c>
      <c r="Q100" s="462"/>
      <c r="R100" s="312">
        <f t="shared" si="38"/>
        <v>43125</v>
      </c>
      <c r="S100" s="311"/>
      <c r="T100" s="314">
        <f t="shared" ref="T100:Y100" si="51">SUM(T90:T99)</f>
        <v>39125</v>
      </c>
      <c r="U100" s="314">
        <f t="shared" si="51"/>
        <v>6000</v>
      </c>
      <c r="V100" s="314">
        <f t="shared" si="51"/>
        <v>39125</v>
      </c>
      <c r="W100" s="314">
        <f t="shared" si="51"/>
        <v>45125</v>
      </c>
      <c r="X100" s="314">
        <f t="shared" si="51"/>
        <v>84250</v>
      </c>
      <c r="Y100" s="314">
        <f t="shared" si="51"/>
        <v>0</v>
      </c>
    </row>
    <row r="101" spans="1:25">
      <c r="A101" s="451">
        <f t="shared" si="32"/>
        <v>310</v>
      </c>
      <c r="B101" s="407"/>
      <c r="C101" s="49"/>
      <c r="D101" s="49"/>
      <c r="E101" s="49"/>
      <c r="F101" s="49"/>
      <c r="G101" s="49"/>
      <c r="H101" s="50"/>
      <c r="I101" s="49"/>
      <c r="J101" s="49"/>
      <c r="K101" s="49"/>
      <c r="L101" s="49"/>
      <c r="M101" s="46"/>
      <c r="N101" s="44"/>
      <c r="O101" s="44"/>
      <c r="P101" s="44">
        <f t="shared" si="45"/>
        <v>0</v>
      </c>
      <c r="Q101" s="250"/>
      <c r="R101" s="44">
        <f t="shared" si="38"/>
        <v>0</v>
      </c>
      <c r="S101" s="46"/>
      <c r="T101" s="346"/>
      <c r="U101" s="346"/>
      <c r="V101" s="346"/>
      <c r="W101" s="346"/>
      <c r="X101" s="346"/>
      <c r="Y101" s="346"/>
    </row>
    <row r="102" spans="1:25">
      <c r="A102" s="406">
        <f t="shared" si="32"/>
        <v>311</v>
      </c>
      <c r="B102" s="409" t="s">
        <v>542</v>
      </c>
      <c r="C102" s="49">
        <f>92100+750000</f>
        <v>842100</v>
      </c>
      <c r="D102" s="49"/>
      <c r="E102" s="49"/>
      <c r="F102" s="49"/>
      <c r="G102" s="49"/>
      <c r="H102" s="50"/>
      <c r="I102" s="49"/>
      <c r="J102" s="49"/>
      <c r="K102" s="49"/>
      <c r="L102" s="49"/>
      <c r="M102" s="46"/>
      <c r="N102" s="44"/>
      <c r="O102" s="44"/>
      <c r="P102" s="44">
        <f t="shared" si="45"/>
        <v>0</v>
      </c>
      <c r="Q102" s="265"/>
      <c r="R102" s="44">
        <f t="shared" si="38"/>
        <v>0</v>
      </c>
      <c r="S102" s="46"/>
      <c r="T102" s="346"/>
      <c r="U102" s="346"/>
      <c r="V102" s="346"/>
      <c r="W102" s="346"/>
      <c r="X102" s="346"/>
      <c r="Y102" s="346"/>
    </row>
    <row r="103" spans="1:25" ht="28.5">
      <c r="A103" s="451">
        <f t="shared" si="32"/>
        <v>312</v>
      </c>
      <c r="B103" s="407" t="s">
        <v>543</v>
      </c>
      <c r="C103" s="49"/>
      <c r="D103" s="49">
        <v>100000</v>
      </c>
      <c r="E103" s="49"/>
      <c r="F103" s="49"/>
      <c r="G103" s="49"/>
      <c r="H103" s="50"/>
      <c r="I103" s="49"/>
      <c r="J103" s="49"/>
      <c r="K103" s="49"/>
      <c r="L103" s="49"/>
      <c r="M103" s="46"/>
      <c r="N103" s="44"/>
      <c r="O103" s="44"/>
      <c r="P103" s="44">
        <f t="shared" si="45"/>
        <v>0</v>
      </c>
      <c r="Q103" s="473"/>
      <c r="R103" s="44">
        <f t="shared" si="38"/>
        <v>0</v>
      </c>
      <c r="S103" s="46"/>
      <c r="T103" s="458">
        <v>0</v>
      </c>
      <c r="U103" s="458"/>
      <c r="V103" s="458">
        <v>0</v>
      </c>
      <c r="W103" s="53">
        <f t="shared" ref="W103:W126" si="52">U103+V103</f>
        <v>0</v>
      </c>
      <c r="X103" s="53">
        <f t="shared" ref="X103:X126" si="53">T103+W103</f>
        <v>0</v>
      </c>
      <c r="Y103" s="346"/>
    </row>
    <row r="104" spans="1:25">
      <c r="A104" s="451">
        <f t="shared" si="32"/>
        <v>313</v>
      </c>
      <c r="B104" s="407" t="s">
        <v>544</v>
      </c>
      <c r="C104" s="49"/>
      <c r="D104" s="49">
        <v>75000</v>
      </c>
      <c r="E104" s="49"/>
      <c r="F104" s="49">
        <v>5000</v>
      </c>
      <c r="G104" s="49">
        <f>5000*0.65</f>
        <v>3250</v>
      </c>
      <c r="H104" s="50"/>
      <c r="I104" s="49"/>
      <c r="J104" s="49">
        <v>5000</v>
      </c>
      <c r="K104" s="49">
        <f>J104</f>
        <v>5000</v>
      </c>
      <c r="L104" s="49"/>
      <c r="M104" s="46"/>
      <c r="N104" s="44"/>
      <c r="O104" s="44">
        <v>10000</v>
      </c>
      <c r="P104" s="44">
        <f t="shared" si="45"/>
        <v>10000</v>
      </c>
      <c r="Q104" s="265" t="s">
        <v>545</v>
      </c>
      <c r="R104" s="44">
        <f t="shared" si="38"/>
        <v>10000</v>
      </c>
      <c r="S104" s="46"/>
      <c r="T104" s="458">
        <v>10000</v>
      </c>
      <c r="U104" s="458"/>
      <c r="V104" s="458">
        <v>10000</v>
      </c>
      <c r="W104" s="474">
        <f t="shared" si="52"/>
        <v>10000</v>
      </c>
      <c r="X104" s="53">
        <f t="shared" si="53"/>
        <v>20000</v>
      </c>
      <c r="Y104" s="346"/>
    </row>
    <row r="105" spans="1:25">
      <c r="A105" s="451">
        <f t="shared" si="32"/>
        <v>314</v>
      </c>
      <c r="B105" s="407"/>
      <c r="C105" s="49"/>
      <c r="D105" s="49"/>
      <c r="E105" s="49"/>
      <c r="F105" s="49">
        <v>0</v>
      </c>
      <c r="G105" s="49">
        <v>0</v>
      </c>
      <c r="H105" s="50"/>
      <c r="I105" s="49"/>
      <c r="J105" s="49"/>
      <c r="K105" s="49">
        <f t="shared" ref="K105:K126" si="54">J105</f>
        <v>0</v>
      </c>
      <c r="L105" s="49"/>
      <c r="M105" s="46"/>
      <c r="N105" s="44"/>
      <c r="O105" s="44"/>
      <c r="P105" s="44">
        <f t="shared" si="45"/>
        <v>0</v>
      </c>
      <c r="Q105" s="265"/>
      <c r="R105" s="44">
        <f t="shared" si="38"/>
        <v>0</v>
      </c>
      <c r="S105" s="46"/>
      <c r="T105" s="458"/>
      <c r="U105" s="458"/>
      <c r="V105" s="458"/>
      <c r="W105" s="53">
        <f t="shared" si="52"/>
        <v>0</v>
      </c>
      <c r="X105" s="53">
        <f t="shared" si="53"/>
        <v>0</v>
      </c>
      <c r="Y105" s="346"/>
    </row>
    <row r="106" spans="1:25">
      <c r="A106" s="451">
        <f t="shared" si="32"/>
        <v>315</v>
      </c>
      <c r="B106" s="407" t="s">
        <v>546</v>
      </c>
      <c r="C106" s="49"/>
      <c r="D106" s="49">
        <v>55000</v>
      </c>
      <c r="E106" s="49"/>
      <c r="F106" s="49">
        <v>0</v>
      </c>
      <c r="G106" s="49">
        <v>0</v>
      </c>
      <c r="H106" s="50"/>
      <c r="I106" s="49"/>
      <c r="J106" s="49"/>
      <c r="K106" s="49">
        <f t="shared" si="54"/>
        <v>0</v>
      </c>
      <c r="L106" s="49"/>
      <c r="M106" s="46"/>
      <c r="N106" s="44"/>
      <c r="O106" s="44"/>
      <c r="P106" s="44">
        <f t="shared" si="45"/>
        <v>0</v>
      </c>
      <c r="Q106" s="265"/>
      <c r="R106" s="44">
        <f t="shared" si="38"/>
        <v>0</v>
      </c>
      <c r="S106" s="46"/>
      <c r="T106" s="458">
        <v>0</v>
      </c>
      <c r="U106" s="458"/>
      <c r="V106" s="458">
        <v>0</v>
      </c>
      <c r="W106" s="53">
        <f t="shared" si="52"/>
        <v>0</v>
      </c>
      <c r="X106" s="53">
        <f t="shared" si="53"/>
        <v>0</v>
      </c>
      <c r="Y106" s="346"/>
    </row>
    <row r="107" spans="1:25">
      <c r="A107" s="451">
        <f t="shared" si="32"/>
        <v>316</v>
      </c>
      <c r="B107" s="407" t="s">
        <v>547</v>
      </c>
      <c r="C107" s="49"/>
      <c r="D107" s="49">
        <v>45000</v>
      </c>
      <c r="E107" s="49"/>
      <c r="F107" s="49">
        <v>5000</v>
      </c>
      <c r="G107" s="49">
        <f>5000*0.65</f>
        <v>3250</v>
      </c>
      <c r="H107" s="50"/>
      <c r="I107" s="49"/>
      <c r="J107" s="49">
        <v>5000</v>
      </c>
      <c r="K107" s="49">
        <f t="shared" si="54"/>
        <v>5000</v>
      </c>
      <c r="L107" s="49"/>
      <c r="M107" s="46"/>
      <c r="N107" s="44"/>
      <c r="O107" s="44">
        <v>15000</v>
      </c>
      <c r="P107" s="44">
        <f t="shared" si="45"/>
        <v>15000</v>
      </c>
      <c r="Q107" s="265"/>
      <c r="R107" s="44">
        <f t="shared" si="38"/>
        <v>15000</v>
      </c>
      <c r="S107" s="46"/>
      <c r="T107" s="458">
        <v>15000</v>
      </c>
      <c r="U107" s="458"/>
      <c r="V107" s="458">
        <v>15000</v>
      </c>
      <c r="W107" s="474">
        <f t="shared" si="52"/>
        <v>15000</v>
      </c>
      <c r="X107" s="53">
        <f t="shared" si="53"/>
        <v>30000</v>
      </c>
      <c r="Y107" s="346"/>
    </row>
    <row r="108" spans="1:25">
      <c r="A108" s="451">
        <f t="shared" si="32"/>
        <v>317</v>
      </c>
      <c r="B108" s="407" t="s">
        <v>548</v>
      </c>
      <c r="C108" s="49"/>
      <c r="D108" s="49">
        <v>60000</v>
      </c>
      <c r="E108" s="49"/>
      <c r="F108" s="49">
        <v>10000</v>
      </c>
      <c r="G108" s="49">
        <v>7500</v>
      </c>
      <c r="H108" s="50"/>
      <c r="I108" s="49"/>
      <c r="J108" s="49">
        <v>20000</v>
      </c>
      <c r="K108" s="49">
        <f t="shared" si="54"/>
        <v>20000</v>
      </c>
      <c r="L108" s="49"/>
      <c r="M108" s="46"/>
      <c r="N108" s="44"/>
      <c r="O108" s="44">
        <v>35000</v>
      </c>
      <c r="P108" s="44">
        <f t="shared" si="45"/>
        <v>35000</v>
      </c>
      <c r="Q108" s="265"/>
      <c r="R108" s="44">
        <f t="shared" si="38"/>
        <v>35000</v>
      </c>
      <c r="S108" s="46"/>
      <c r="T108" s="458">
        <v>0</v>
      </c>
      <c r="U108" s="458"/>
      <c r="V108" s="458">
        <v>0</v>
      </c>
      <c r="W108" s="474">
        <f t="shared" si="52"/>
        <v>0</v>
      </c>
      <c r="X108" s="53">
        <f t="shared" si="53"/>
        <v>0</v>
      </c>
      <c r="Y108" s="346" t="s">
        <v>549</v>
      </c>
    </row>
    <row r="109" spans="1:25">
      <c r="A109" s="451">
        <f t="shared" si="32"/>
        <v>318</v>
      </c>
      <c r="B109" s="407" t="s">
        <v>550</v>
      </c>
      <c r="C109" s="49"/>
      <c r="D109" s="49">
        <v>30000</v>
      </c>
      <c r="E109" s="49"/>
      <c r="F109" s="49">
        <v>0</v>
      </c>
      <c r="G109" s="49">
        <v>0</v>
      </c>
      <c r="H109" s="50"/>
      <c r="I109" s="49"/>
      <c r="J109" s="49">
        <v>0</v>
      </c>
      <c r="K109" s="49">
        <f t="shared" si="54"/>
        <v>0</v>
      </c>
      <c r="L109" s="49"/>
      <c r="M109" s="46"/>
      <c r="N109" s="44"/>
      <c r="O109" s="44"/>
      <c r="P109" s="44">
        <f t="shared" si="45"/>
        <v>0</v>
      </c>
      <c r="Q109" s="265"/>
      <c r="R109" s="44">
        <f t="shared" si="38"/>
        <v>0</v>
      </c>
      <c r="S109" s="46"/>
      <c r="T109" s="458">
        <v>0</v>
      </c>
      <c r="U109" s="458"/>
      <c r="V109" s="458">
        <v>0</v>
      </c>
      <c r="W109" s="53">
        <f t="shared" si="52"/>
        <v>0</v>
      </c>
      <c r="X109" s="53">
        <f t="shared" si="53"/>
        <v>0</v>
      </c>
      <c r="Y109" s="346"/>
    </row>
    <row r="110" spans="1:25" ht="28.5">
      <c r="A110" s="451">
        <f t="shared" si="32"/>
        <v>319</v>
      </c>
      <c r="B110" s="407" t="s">
        <v>551</v>
      </c>
      <c r="C110" s="49"/>
      <c r="D110" s="49">
        <v>40000</v>
      </c>
      <c r="E110" s="49"/>
      <c r="F110" s="49">
        <v>18311</v>
      </c>
      <c r="G110" s="49">
        <v>18311</v>
      </c>
      <c r="H110" s="50"/>
      <c r="I110" s="49"/>
      <c r="J110" s="49">
        <v>13334</v>
      </c>
      <c r="K110" s="49">
        <f t="shared" si="54"/>
        <v>13334</v>
      </c>
      <c r="L110" s="49"/>
      <c r="M110" s="46"/>
      <c r="N110" s="44"/>
      <c r="O110" s="44">
        <v>13334</v>
      </c>
      <c r="P110" s="44">
        <f t="shared" si="45"/>
        <v>13334</v>
      </c>
      <c r="Q110" s="265"/>
      <c r="R110" s="44">
        <f t="shared" si="38"/>
        <v>13334</v>
      </c>
      <c r="S110" s="46"/>
      <c r="T110" s="458">
        <v>13334</v>
      </c>
      <c r="U110" s="458"/>
      <c r="V110" s="458">
        <v>13334</v>
      </c>
      <c r="W110" s="53">
        <f t="shared" si="52"/>
        <v>13334</v>
      </c>
      <c r="X110" s="53">
        <f t="shared" si="53"/>
        <v>26668</v>
      </c>
      <c r="Y110" s="346"/>
    </row>
    <row r="111" spans="1:25">
      <c r="A111" s="451">
        <f t="shared" si="32"/>
        <v>320</v>
      </c>
      <c r="B111" s="407" t="s">
        <v>552</v>
      </c>
      <c r="C111" s="49"/>
      <c r="D111" s="49">
        <v>60000</v>
      </c>
      <c r="E111" s="49"/>
      <c r="F111" s="49">
        <v>0</v>
      </c>
      <c r="G111" s="49">
        <v>0</v>
      </c>
      <c r="H111" s="50"/>
      <c r="I111" s="49"/>
      <c r="J111" s="49">
        <v>0</v>
      </c>
      <c r="K111" s="49">
        <f t="shared" si="54"/>
        <v>0</v>
      </c>
      <c r="L111" s="49"/>
      <c r="M111" s="46"/>
      <c r="N111" s="44"/>
      <c r="O111" s="44"/>
      <c r="P111" s="44">
        <f t="shared" si="45"/>
        <v>0</v>
      </c>
      <c r="Q111" s="265"/>
      <c r="R111" s="44">
        <f t="shared" si="38"/>
        <v>0</v>
      </c>
      <c r="S111" s="46"/>
      <c r="T111" s="458">
        <v>0</v>
      </c>
      <c r="U111" s="458"/>
      <c r="V111" s="458">
        <v>0</v>
      </c>
      <c r="W111" s="53">
        <f t="shared" si="52"/>
        <v>0</v>
      </c>
      <c r="X111" s="53">
        <f t="shared" si="53"/>
        <v>0</v>
      </c>
      <c r="Y111" s="346"/>
    </row>
    <row r="112" spans="1:25">
      <c r="A112" s="451">
        <f t="shared" si="32"/>
        <v>321</v>
      </c>
      <c r="B112" s="407" t="s">
        <v>553</v>
      </c>
      <c r="C112" s="49"/>
      <c r="D112" s="49">
        <v>45000</v>
      </c>
      <c r="E112" s="49"/>
      <c r="F112" s="49">
        <v>10000</v>
      </c>
      <c r="G112" s="49">
        <v>3000</v>
      </c>
      <c r="H112" s="50"/>
      <c r="I112" s="49"/>
      <c r="J112" s="49">
        <v>20000</v>
      </c>
      <c r="K112" s="49">
        <f t="shared" si="54"/>
        <v>20000</v>
      </c>
      <c r="L112" s="49"/>
      <c r="M112" s="46"/>
      <c r="N112" s="44"/>
      <c r="O112" s="44">
        <v>40000</v>
      </c>
      <c r="P112" s="44">
        <f t="shared" si="45"/>
        <v>40000</v>
      </c>
      <c r="Q112" s="265"/>
      <c r="R112" s="44">
        <f t="shared" si="38"/>
        <v>40000</v>
      </c>
      <c r="S112" s="46"/>
      <c r="T112" s="458">
        <v>40000</v>
      </c>
      <c r="U112" s="458"/>
      <c r="V112" s="458">
        <v>40000</v>
      </c>
      <c r="W112" s="474">
        <f t="shared" si="52"/>
        <v>40000</v>
      </c>
      <c r="X112" s="53">
        <f t="shared" si="53"/>
        <v>80000</v>
      </c>
      <c r="Y112" s="346"/>
    </row>
    <row r="113" spans="1:25">
      <c r="A113" s="451">
        <f t="shared" si="32"/>
        <v>322</v>
      </c>
      <c r="B113" s="407" t="s">
        <v>179</v>
      </c>
      <c r="C113" s="49"/>
      <c r="D113" s="49">
        <v>20000</v>
      </c>
      <c r="E113" s="49"/>
      <c r="F113" s="49">
        <v>0</v>
      </c>
      <c r="G113" s="49">
        <v>0</v>
      </c>
      <c r="H113" s="50"/>
      <c r="I113" s="49">
        <v>30000</v>
      </c>
      <c r="J113" s="49"/>
      <c r="K113" s="49">
        <f>I113</f>
        <v>30000</v>
      </c>
      <c r="L113" s="49"/>
      <c r="M113" s="46"/>
      <c r="N113" s="44">
        <v>30000</v>
      </c>
      <c r="O113" s="44"/>
      <c r="P113" s="44">
        <f t="shared" si="45"/>
        <v>30000</v>
      </c>
      <c r="Q113" s="265"/>
      <c r="R113" s="44">
        <f t="shared" si="38"/>
        <v>30000</v>
      </c>
      <c r="S113" s="46"/>
      <c r="T113" s="458"/>
      <c r="U113" s="458">
        <v>30000</v>
      </c>
      <c r="V113" s="458"/>
      <c r="W113" s="53">
        <f t="shared" si="52"/>
        <v>30000</v>
      </c>
      <c r="X113" s="53">
        <f t="shared" si="53"/>
        <v>30000</v>
      </c>
      <c r="Y113" s="346"/>
    </row>
    <row r="114" spans="1:25">
      <c r="A114" s="463">
        <f t="shared" si="32"/>
        <v>323</v>
      </c>
      <c r="B114" s="464" t="s">
        <v>554</v>
      </c>
      <c r="C114" s="49"/>
      <c r="D114" s="49">
        <v>15000</v>
      </c>
      <c r="E114" s="49"/>
      <c r="F114" s="49">
        <v>2000</v>
      </c>
      <c r="G114" s="49">
        <v>500</v>
      </c>
      <c r="H114" s="50"/>
      <c r="I114" s="49"/>
      <c r="J114" s="49">
        <v>2000</v>
      </c>
      <c r="K114" s="49">
        <f t="shared" si="54"/>
        <v>2000</v>
      </c>
      <c r="L114" s="49"/>
      <c r="M114" s="46"/>
      <c r="N114" s="44"/>
      <c r="O114" s="44">
        <v>2500</v>
      </c>
      <c r="P114" s="44">
        <f t="shared" si="45"/>
        <v>2500</v>
      </c>
      <c r="Q114" s="265"/>
      <c r="R114" s="44">
        <f t="shared" si="38"/>
        <v>2500</v>
      </c>
      <c r="S114" s="46"/>
      <c r="T114" s="458">
        <v>2500</v>
      </c>
      <c r="U114" s="458"/>
      <c r="V114" s="458">
        <v>2500</v>
      </c>
      <c r="W114" s="53">
        <f t="shared" si="52"/>
        <v>2500</v>
      </c>
      <c r="X114" s="53">
        <f t="shared" si="53"/>
        <v>5000</v>
      </c>
      <c r="Y114" s="346"/>
    </row>
    <row r="115" spans="1:25">
      <c r="A115" s="463">
        <f t="shared" si="32"/>
        <v>324</v>
      </c>
      <c r="B115" s="464" t="s">
        <v>267</v>
      </c>
      <c r="C115" s="49"/>
      <c r="D115" s="49">
        <v>45000</v>
      </c>
      <c r="E115" s="49"/>
      <c r="F115" s="49">
        <v>50000</v>
      </c>
      <c r="G115" s="49">
        <v>25000</v>
      </c>
      <c r="H115" s="50"/>
      <c r="I115" s="49"/>
      <c r="J115" s="49">
        <v>30000</v>
      </c>
      <c r="K115" s="49">
        <f t="shared" si="54"/>
        <v>30000</v>
      </c>
      <c r="L115" s="49"/>
      <c r="M115" s="46"/>
      <c r="N115" s="44"/>
      <c r="O115" s="44">
        <v>40000</v>
      </c>
      <c r="P115" s="44">
        <f t="shared" si="45"/>
        <v>40000</v>
      </c>
      <c r="Q115" s="265"/>
      <c r="R115" s="44">
        <f t="shared" si="38"/>
        <v>40000</v>
      </c>
      <c r="S115" s="46"/>
      <c r="T115" s="458">
        <v>40000</v>
      </c>
      <c r="U115" s="458"/>
      <c r="V115" s="458">
        <v>40000</v>
      </c>
      <c r="W115" s="474">
        <f t="shared" si="52"/>
        <v>40000</v>
      </c>
      <c r="X115" s="53">
        <f t="shared" si="53"/>
        <v>80000</v>
      </c>
      <c r="Y115" s="346"/>
    </row>
    <row r="116" spans="1:25" ht="22.9" customHeight="1">
      <c r="A116" s="463">
        <f t="shared" si="32"/>
        <v>325</v>
      </c>
      <c r="B116" s="464" t="s">
        <v>428</v>
      </c>
      <c r="C116" s="49"/>
      <c r="D116" s="49">
        <v>30000</v>
      </c>
      <c r="E116" s="49"/>
      <c r="F116" s="49">
        <v>95000</v>
      </c>
      <c r="G116" s="49">
        <v>45000</v>
      </c>
      <c r="H116" s="50" t="s">
        <v>555</v>
      </c>
      <c r="I116" s="49"/>
      <c r="J116" s="49">
        <v>95000</v>
      </c>
      <c r="K116" s="49">
        <f t="shared" si="54"/>
        <v>95000</v>
      </c>
      <c r="L116" s="49"/>
      <c r="M116" s="46"/>
      <c r="N116" s="44"/>
      <c r="O116" s="44">
        <v>90000</v>
      </c>
      <c r="P116" s="44">
        <f t="shared" si="45"/>
        <v>90000</v>
      </c>
      <c r="Q116" s="265"/>
      <c r="R116" s="44">
        <f t="shared" si="38"/>
        <v>90000</v>
      </c>
      <c r="S116" s="46"/>
      <c r="T116" s="458">
        <v>90000</v>
      </c>
      <c r="U116" s="458"/>
      <c r="V116" s="458">
        <v>90000</v>
      </c>
      <c r="W116" s="53">
        <f t="shared" si="52"/>
        <v>90000</v>
      </c>
      <c r="X116" s="53">
        <f t="shared" si="53"/>
        <v>180000</v>
      </c>
      <c r="Y116" s="346"/>
    </row>
    <row r="117" spans="1:25">
      <c r="A117" s="463">
        <f t="shared" si="32"/>
        <v>326</v>
      </c>
      <c r="B117" s="464" t="s">
        <v>538</v>
      </c>
      <c r="C117" s="49"/>
      <c r="D117" s="49">
        <v>6000</v>
      </c>
      <c r="E117" s="49"/>
      <c r="F117" s="49">
        <v>2000</v>
      </c>
      <c r="G117" s="49">
        <v>0</v>
      </c>
      <c r="H117" s="50"/>
      <c r="I117" s="49"/>
      <c r="J117" s="49">
        <v>2000</v>
      </c>
      <c r="K117" s="49">
        <f t="shared" si="54"/>
        <v>2000</v>
      </c>
      <c r="L117" s="49"/>
      <c r="M117" s="46"/>
      <c r="N117" s="44"/>
      <c r="O117" s="44">
        <v>2000</v>
      </c>
      <c r="P117" s="44">
        <f t="shared" si="45"/>
        <v>2000</v>
      </c>
      <c r="Q117" s="265"/>
      <c r="R117" s="44">
        <f t="shared" si="38"/>
        <v>2000</v>
      </c>
      <c r="S117" s="46"/>
      <c r="T117" s="458">
        <v>2000</v>
      </c>
      <c r="U117" s="458"/>
      <c r="V117" s="458">
        <v>2000</v>
      </c>
      <c r="W117" s="53">
        <f t="shared" si="52"/>
        <v>2000</v>
      </c>
      <c r="X117" s="53">
        <f t="shared" si="53"/>
        <v>4000</v>
      </c>
      <c r="Y117" s="346"/>
    </row>
    <row r="118" spans="1:25">
      <c r="A118" s="463">
        <f t="shared" si="32"/>
        <v>327</v>
      </c>
      <c r="B118" s="464" t="s">
        <v>556</v>
      </c>
      <c r="C118" s="49"/>
      <c r="D118" s="49">
        <v>30000</v>
      </c>
      <c r="E118" s="49"/>
      <c r="F118" s="49">
        <v>7000</v>
      </c>
      <c r="G118" s="49">
        <v>3500</v>
      </c>
      <c r="H118" s="50"/>
      <c r="I118" s="49"/>
      <c r="J118" s="49">
        <v>7000</v>
      </c>
      <c r="K118" s="49">
        <f t="shared" si="54"/>
        <v>7000</v>
      </c>
      <c r="L118" s="49"/>
      <c r="M118" s="46"/>
      <c r="N118" s="44"/>
      <c r="O118" s="44">
        <v>10000</v>
      </c>
      <c r="P118" s="44">
        <f t="shared" si="45"/>
        <v>10000</v>
      </c>
      <c r="Q118" s="265"/>
      <c r="R118" s="44">
        <f t="shared" si="38"/>
        <v>10000</v>
      </c>
      <c r="S118" s="46"/>
      <c r="T118" s="458">
        <v>10000</v>
      </c>
      <c r="U118" s="458"/>
      <c r="V118" s="458">
        <v>10000</v>
      </c>
      <c r="W118" s="53">
        <f t="shared" si="52"/>
        <v>10000</v>
      </c>
      <c r="X118" s="53">
        <f t="shared" si="53"/>
        <v>20000</v>
      </c>
      <c r="Y118" s="346"/>
    </row>
    <row r="119" spans="1:25">
      <c r="A119" s="463">
        <f t="shared" si="32"/>
        <v>328</v>
      </c>
      <c r="B119" s="464" t="s">
        <v>540</v>
      </c>
      <c r="C119" s="49"/>
      <c r="D119" s="49">
        <v>15000</v>
      </c>
      <c r="E119" s="49"/>
      <c r="F119" s="49">
        <v>0</v>
      </c>
      <c r="G119" s="49">
        <v>0</v>
      </c>
      <c r="H119" s="50"/>
      <c r="I119" s="49"/>
      <c r="J119" s="49"/>
      <c r="K119" s="49">
        <f t="shared" si="54"/>
        <v>0</v>
      </c>
      <c r="L119" s="49"/>
      <c r="M119" s="46"/>
      <c r="N119" s="44"/>
      <c r="O119" s="44"/>
      <c r="P119" s="44">
        <f t="shared" si="45"/>
        <v>0</v>
      </c>
      <c r="Q119" s="265"/>
      <c r="R119" s="44">
        <f t="shared" si="38"/>
        <v>0</v>
      </c>
      <c r="S119" s="46"/>
      <c r="T119" s="458">
        <v>0</v>
      </c>
      <c r="U119" s="458"/>
      <c r="V119" s="458">
        <v>0</v>
      </c>
      <c r="W119" s="53">
        <f t="shared" si="52"/>
        <v>0</v>
      </c>
      <c r="X119" s="53">
        <f t="shared" si="53"/>
        <v>0</v>
      </c>
      <c r="Y119" s="346"/>
    </row>
    <row r="120" spans="1:25">
      <c r="A120" s="463">
        <f t="shared" si="32"/>
        <v>329</v>
      </c>
      <c r="B120" s="464" t="s">
        <v>484</v>
      </c>
      <c r="C120" s="49"/>
      <c r="D120" s="49">
        <v>4500</v>
      </c>
      <c r="E120" s="49"/>
      <c r="F120" s="49">
        <v>2000</v>
      </c>
      <c r="G120" s="49">
        <v>1000</v>
      </c>
      <c r="H120" s="50"/>
      <c r="I120" s="49"/>
      <c r="J120" s="49">
        <v>2000</v>
      </c>
      <c r="K120" s="49">
        <f t="shared" si="54"/>
        <v>2000</v>
      </c>
      <c r="L120" s="49"/>
      <c r="M120" s="46"/>
      <c r="N120" s="44"/>
      <c r="O120" s="44">
        <v>2000</v>
      </c>
      <c r="P120" s="44">
        <f t="shared" si="45"/>
        <v>2000</v>
      </c>
      <c r="Q120" s="265"/>
      <c r="R120" s="44">
        <f t="shared" si="38"/>
        <v>2000</v>
      </c>
      <c r="S120" s="46"/>
      <c r="T120" s="458">
        <v>2000</v>
      </c>
      <c r="U120" s="458"/>
      <c r="V120" s="458">
        <v>2000</v>
      </c>
      <c r="W120" s="53">
        <f t="shared" si="52"/>
        <v>2000</v>
      </c>
      <c r="X120" s="53">
        <f t="shared" si="53"/>
        <v>4000</v>
      </c>
      <c r="Y120" s="346"/>
    </row>
    <row r="121" spans="1:25">
      <c r="A121" s="463">
        <f t="shared" si="32"/>
        <v>330</v>
      </c>
      <c r="B121" s="464" t="s">
        <v>496</v>
      </c>
      <c r="C121" s="49"/>
      <c r="D121" s="49">
        <v>4500</v>
      </c>
      <c r="E121" s="49"/>
      <c r="F121" s="49">
        <v>8500</v>
      </c>
      <c r="G121" s="49">
        <v>8500</v>
      </c>
      <c r="H121" s="50"/>
      <c r="I121" s="49"/>
      <c r="J121" s="49">
        <v>8500</v>
      </c>
      <c r="K121" s="49">
        <f t="shared" si="54"/>
        <v>8500</v>
      </c>
      <c r="L121" s="49"/>
      <c r="M121" s="46"/>
      <c r="N121" s="44"/>
      <c r="O121" s="44">
        <v>6000</v>
      </c>
      <c r="P121" s="44">
        <f t="shared" si="45"/>
        <v>6000</v>
      </c>
      <c r="Q121" s="265"/>
      <c r="R121" s="44">
        <f t="shared" si="38"/>
        <v>6000</v>
      </c>
      <c r="S121" s="46"/>
      <c r="T121" s="458">
        <v>6000</v>
      </c>
      <c r="U121" s="458"/>
      <c r="V121" s="458">
        <v>6000</v>
      </c>
      <c r="W121" s="53">
        <f t="shared" si="52"/>
        <v>6000</v>
      </c>
      <c r="X121" s="53">
        <f t="shared" si="53"/>
        <v>12000</v>
      </c>
      <c r="Y121" s="346"/>
    </row>
    <row r="122" spans="1:25">
      <c r="A122" s="463">
        <f t="shared" si="32"/>
        <v>331</v>
      </c>
      <c r="B122" s="464" t="s">
        <v>509</v>
      </c>
      <c r="C122" s="49"/>
      <c r="D122" s="49">
        <v>8000</v>
      </c>
      <c r="E122" s="49"/>
      <c r="F122" s="49">
        <v>18000</v>
      </c>
      <c r="G122" s="49">
        <v>18000</v>
      </c>
      <c r="H122" s="50"/>
      <c r="I122" s="49"/>
      <c r="J122" s="49">
        <v>32000</v>
      </c>
      <c r="K122" s="49">
        <f t="shared" si="54"/>
        <v>32000</v>
      </c>
      <c r="L122" s="49"/>
      <c r="M122" s="46"/>
      <c r="N122" s="44"/>
      <c r="O122" s="44">
        <v>25000</v>
      </c>
      <c r="P122" s="44">
        <f t="shared" si="45"/>
        <v>25000</v>
      </c>
      <c r="Q122" s="265"/>
      <c r="R122" s="44">
        <f t="shared" si="38"/>
        <v>25000</v>
      </c>
      <c r="S122" s="46"/>
      <c r="T122" s="458">
        <v>25000</v>
      </c>
      <c r="U122" s="458"/>
      <c r="V122" s="458">
        <v>25000</v>
      </c>
      <c r="W122" s="53">
        <f t="shared" si="52"/>
        <v>25000</v>
      </c>
      <c r="X122" s="53">
        <f t="shared" si="53"/>
        <v>50000</v>
      </c>
      <c r="Y122" s="346"/>
    </row>
    <row r="123" spans="1:25">
      <c r="A123" s="463">
        <f t="shared" si="32"/>
        <v>332</v>
      </c>
      <c r="B123" s="464" t="s">
        <v>498</v>
      </c>
      <c r="C123" s="49"/>
      <c r="D123" s="49">
        <v>6000</v>
      </c>
      <c r="E123" s="49"/>
      <c r="F123" s="49">
        <v>2500</v>
      </c>
      <c r="G123" s="49">
        <v>2500</v>
      </c>
      <c r="H123" s="50"/>
      <c r="I123" s="49"/>
      <c r="J123" s="49">
        <v>2500</v>
      </c>
      <c r="K123" s="49">
        <f t="shared" si="54"/>
        <v>2500</v>
      </c>
      <c r="L123" s="49"/>
      <c r="M123" s="46"/>
      <c r="N123" s="44"/>
      <c r="O123" s="44">
        <v>2500</v>
      </c>
      <c r="P123" s="44">
        <f t="shared" si="45"/>
        <v>2500</v>
      </c>
      <c r="Q123" s="265"/>
      <c r="R123" s="44">
        <f t="shared" si="38"/>
        <v>2500</v>
      </c>
      <c r="S123" s="46"/>
      <c r="T123" s="458">
        <v>2500</v>
      </c>
      <c r="U123" s="458"/>
      <c r="V123" s="458">
        <v>2500</v>
      </c>
      <c r="W123" s="53">
        <f t="shared" si="52"/>
        <v>2500</v>
      </c>
      <c r="X123" s="53">
        <f t="shared" si="53"/>
        <v>5000</v>
      </c>
      <c r="Y123" s="346"/>
    </row>
    <row r="124" spans="1:25">
      <c r="A124" s="463">
        <f t="shared" si="32"/>
        <v>333</v>
      </c>
      <c r="B124" s="464" t="s">
        <v>557</v>
      </c>
      <c r="C124" s="49"/>
      <c r="D124" s="49">
        <v>72000</v>
      </c>
      <c r="E124" s="49"/>
      <c r="F124" s="49">
        <v>13000</v>
      </c>
      <c r="G124" s="49">
        <v>13000</v>
      </c>
      <c r="H124" s="50"/>
      <c r="I124" s="49"/>
      <c r="J124" s="49">
        <v>13000</v>
      </c>
      <c r="K124" s="49">
        <f t="shared" si="54"/>
        <v>13000</v>
      </c>
      <c r="L124" s="49"/>
      <c r="M124" s="46"/>
      <c r="N124" s="44"/>
      <c r="O124" s="44">
        <v>13000</v>
      </c>
      <c r="P124" s="44">
        <f t="shared" si="45"/>
        <v>13000</v>
      </c>
      <c r="Q124" s="265"/>
      <c r="R124" s="44">
        <f t="shared" si="38"/>
        <v>13000</v>
      </c>
      <c r="S124" s="46"/>
      <c r="T124" s="458">
        <v>13000</v>
      </c>
      <c r="U124" s="458"/>
      <c r="V124" s="458">
        <v>13000</v>
      </c>
      <c r="W124" s="53">
        <f t="shared" si="52"/>
        <v>13000</v>
      </c>
      <c r="X124" s="53">
        <f t="shared" si="53"/>
        <v>26000</v>
      </c>
      <c r="Y124" s="346"/>
    </row>
    <row r="125" spans="1:25">
      <c r="A125" s="463">
        <f t="shared" si="32"/>
        <v>334</v>
      </c>
      <c r="B125" s="464" t="s">
        <v>558</v>
      </c>
      <c r="C125" s="49"/>
      <c r="D125" s="49">
        <v>11100</v>
      </c>
      <c r="E125" s="49"/>
      <c r="F125" s="49">
        <v>0</v>
      </c>
      <c r="G125" s="49">
        <v>0</v>
      </c>
      <c r="H125" s="50"/>
      <c r="I125" s="49"/>
      <c r="J125" s="49">
        <v>0</v>
      </c>
      <c r="K125" s="49">
        <f t="shared" si="54"/>
        <v>0</v>
      </c>
      <c r="L125" s="49"/>
      <c r="M125" s="46"/>
      <c r="N125" s="44"/>
      <c r="O125" s="44"/>
      <c r="P125" s="44">
        <f t="shared" si="45"/>
        <v>0</v>
      </c>
      <c r="Q125" s="265"/>
      <c r="R125" s="44">
        <f t="shared" si="38"/>
        <v>0</v>
      </c>
      <c r="S125" s="46"/>
      <c r="T125" s="458">
        <v>0</v>
      </c>
      <c r="U125" s="458"/>
      <c r="V125" s="458">
        <v>0</v>
      </c>
      <c r="W125" s="53">
        <f t="shared" si="52"/>
        <v>0</v>
      </c>
      <c r="X125" s="53">
        <f t="shared" si="53"/>
        <v>0</v>
      </c>
      <c r="Y125" s="346"/>
    </row>
    <row r="126" spans="1:25">
      <c r="A126" s="463">
        <f t="shared" si="32"/>
        <v>335</v>
      </c>
      <c r="B126" s="464" t="s">
        <v>559</v>
      </c>
      <c r="C126" s="49"/>
      <c r="D126" s="49">
        <v>37800</v>
      </c>
      <c r="E126" s="49"/>
      <c r="F126" s="49">
        <v>16000</v>
      </c>
      <c r="G126" s="49">
        <v>16000</v>
      </c>
      <c r="H126" s="50"/>
      <c r="I126" s="49"/>
      <c r="J126" s="49">
        <v>16000</v>
      </c>
      <c r="K126" s="49">
        <f t="shared" si="54"/>
        <v>16000</v>
      </c>
      <c r="L126" s="49"/>
      <c r="M126" s="46"/>
      <c r="N126" s="44"/>
      <c r="O126" s="44">
        <v>16000</v>
      </c>
      <c r="P126" s="44">
        <f t="shared" si="45"/>
        <v>16000</v>
      </c>
      <c r="Q126" s="265"/>
      <c r="R126" s="44">
        <f t="shared" si="38"/>
        <v>16000</v>
      </c>
      <c r="S126" s="46"/>
      <c r="T126" s="458">
        <v>16000</v>
      </c>
      <c r="U126" s="458"/>
      <c r="V126" s="458">
        <v>16000</v>
      </c>
      <c r="W126" s="53">
        <f t="shared" si="52"/>
        <v>16000</v>
      </c>
      <c r="X126" s="53">
        <f t="shared" si="53"/>
        <v>32000</v>
      </c>
      <c r="Y126" s="346"/>
    </row>
    <row r="127" spans="1:25" s="354" customFormat="1">
      <c r="A127" s="460">
        <f t="shared" si="32"/>
        <v>336</v>
      </c>
      <c r="B127" s="461" t="s">
        <v>560</v>
      </c>
      <c r="C127" s="309">
        <v>842100</v>
      </c>
      <c r="D127" s="309">
        <v>814900</v>
      </c>
      <c r="E127" s="309">
        <v>275705</v>
      </c>
      <c r="F127" s="309">
        <f t="shared" ref="F127:K127" si="55">SUM(F102:F126)</f>
        <v>264311</v>
      </c>
      <c r="G127" s="309">
        <f t="shared" si="55"/>
        <v>168311</v>
      </c>
      <c r="H127" s="310"/>
      <c r="I127" s="309">
        <f t="shared" si="55"/>
        <v>30000</v>
      </c>
      <c r="J127" s="309">
        <f t="shared" si="55"/>
        <v>273334</v>
      </c>
      <c r="K127" s="309">
        <f t="shared" si="55"/>
        <v>303334</v>
      </c>
      <c r="L127" s="309">
        <f>E127+G127+K127</f>
        <v>747350</v>
      </c>
      <c r="M127" s="311"/>
      <c r="N127" s="312">
        <f t="shared" ref="N127:P127" si="56">SUM(N102:N126)</f>
        <v>30000</v>
      </c>
      <c r="O127" s="312">
        <f t="shared" si="56"/>
        <v>322334</v>
      </c>
      <c r="P127" s="312">
        <f t="shared" si="56"/>
        <v>352334</v>
      </c>
      <c r="Q127" s="475"/>
      <c r="R127" s="312">
        <f t="shared" si="38"/>
        <v>352334</v>
      </c>
      <c r="S127" s="311"/>
      <c r="T127" s="314">
        <f t="shared" ref="T127:Y127" si="57">SUM(T102:T126)</f>
        <v>287334</v>
      </c>
      <c r="U127" s="314">
        <f t="shared" si="57"/>
        <v>30000</v>
      </c>
      <c r="V127" s="314">
        <f t="shared" si="57"/>
        <v>287334</v>
      </c>
      <c r="W127" s="314">
        <f t="shared" si="57"/>
        <v>317334</v>
      </c>
      <c r="X127" s="314">
        <f t="shared" si="57"/>
        <v>604668</v>
      </c>
      <c r="Y127" s="314">
        <f t="shared" si="57"/>
        <v>0</v>
      </c>
    </row>
    <row r="128" spans="1:25">
      <c r="A128" s="451">
        <f t="shared" si="32"/>
        <v>337</v>
      </c>
      <c r="B128" s="407"/>
      <c r="C128" s="49"/>
      <c r="D128" s="49">
        <v>0</v>
      </c>
      <c r="E128" s="49"/>
      <c r="F128" s="49"/>
      <c r="G128" s="49"/>
      <c r="H128" s="50"/>
      <c r="I128" s="49"/>
      <c r="J128" s="49"/>
      <c r="K128" s="49"/>
      <c r="L128" s="49"/>
      <c r="M128" s="46"/>
      <c r="N128" s="44"/>
      <c r="O128" s="44"/>
      <c r="P128" s="44">
        <f t="shared" si="45"/>
        <v>0</v>
      </c>
      <c r="Q128" s="265"/>
      <c r="R128" s="44">
        <f t="shared" si="38"/>
        <v>0</v>
      </c>
      <c r="S128" s="46"/>
      <c r="T128" s="346"/>
      <c r="U128" s="346"/>
      <c r="V128" s="346"/>
      <c r="W128" s="346"/>
      <c r="X128" s="346"/>
      <c r="Y128" s="346"/>
    </row>
    <row r="129" spans="1:25" ht="21.4" customHeight="1">
      <c r="A129" s="406">
        <f t="shared" si="32"/>
        <v>338</v>
      </c>
      <c r="B129" s="409" t="s">
        <v>561</v>
      </c>
      <c r="C129" s="49">
        <v>216000</v>
      </c>
      <c r="D129" s="49">
        <v>0</v>
      </c>
      <c r="E129" s="49"/>
      <c r="F129" s="49"/>
      <c r="G129" s="49"/>
      <c r="H129" s="50"/>
      <c r="I129" s="49"/>
      <c r="J129" s="49"/>
      <c r="K129" s="49"/>
      <c r="L129" s="49"/>
      <c r="M129" s="46"/>
      <c r="N129" s="44"/>
      <c r="O129" s="44"/>
      <c r="P129" s="44">
        <f t="shared" si="45"/>
        <v>0</v>
      </c>
      <c r="Q129" s="265"/>
      <c r="R129" s="44">
        <f t="shared" si="38"/>
        <v>0</v>
      </c>
      <c r="S129" s="46"/>
      <c r="T129" s="346"/>
      <c r="U129" s="346"/>
      <c r="V129" s="346"/>
      <c r="W129" s="346"/>
      <c r="X129" s="346"/>
      <c r="Y129" s="346"/>
    </row>
    <row r="130" spans="1:25">
      <c r="A130" s="451">
        <f t="shared" si="32"/>
        <v>339</v>
      </c>
      <c r="B130" s="407" t="s">
        <v>179</v>
      </c>
      <c r="C130" s="49"/>
      <c r="D130" s="49">
        <v>7000</v>
      </c>
      <c r="E130" s="49"/>
      <c r="F130" s="49"/>
      <c r="G130" s="49"/>
      <c r="H130" s="50"/>
      <c r="I130" s="49">
        <v>20000</v>
      </c>
      <c r="J130" s="49"/>
      <c r="K130" s="49">
        <f>I130</f>
        <v>20000</v>
      </c>
      <c r="L130" s="49"/>
      <c r="M130" s="46"/>
      <c r="N130" s="44">
        <v>20000</v>
      </c>
      <c r="O130" s="44"/>
      <c r="P130" s="44">
        <f t="shared" si="45"/>
        <v>20000</v>
      </c>
      <c r="Q130" s="265"/>
      <c r="R130" s="44">
        <f t="shared" si="38"/>
        <v>20000</v>
      </c>
      <c r="S130" s="46"/>
      <c r="T130" s="458"/>
      <c r="U130" s="458">
        <v>20000</v>
      </c>
      <c r="V130" s="458"/>
      <c r="W130" s="53">
        <f t="shared" ref="W130:W139" si="58">U130+V130</f>
        <v>20000</v>
      </c>
      <c r="X130" s="53">
        <f t="shared" ref="X130:X139" si="59">T130+W130</f>
        <v>20000</v>
      </c>
      <c r="Y130" s="346"/>
    </row>
    <row r="131" spans="1:25">
      <c r="A131" s="451">
        <f t="shared" si="32"/>
        <v>340</v>
      </c>
      <c r="B131" s="407" t="s">
        <v>562</v>
      </c>
      <c r="C131" s="49"/>
      <c r="D131" s="49">
        <v>260000</v>
      </c>
      <c r="E131" s="49"/>
      <c r="F131" s="49">
        <v>84000</v>
      </c>
      <c r="G131" s="49">
        <v>84000</v>
      </c>
      <c r="H131" s="50"/>
      <c r="I131" s="49"/>
      <c r="J131" s="49">
        <v>105000</v>
      </c>
      <c r="K131" s="49">
        <f>J131</f>
        <v>105000</v>
      </c>
      <c r="L131" s="49"/>
      <c r="M131" s="46"/>
      <c r="N131" s="44"/>
      <c r="O131" s="44">
        <v>105000</v>
      </c>
      <c r="P131" s="44">
        <f t="shared" si="45"/>
        <v>105000</v>
      </c>
      <c r="Q131" s="265"/>
      <c r="R131" s="44">
        <f t="shared" si="38"/>
        <v>105000</v>
      </c>
      <c r="S131" s="46"/>
      <c r="T131" s="458">
        <v>82400</v>
      </c>
      <c r="U131" s="458"/>
      <c r="V131" s="458">
        <v>84872</v>
      </c>
      <c r="W131" s="53">
        <f t="shared" si="58"/>
        <v>84872</v>
      </c>
      <c r="X131" s="53">
        <f t="shared" si="59"/>
        <v>167272</v>
      </c>
      <c r="Y131" s="346" t="s">
        <v>563</v>
      </c>
    </row>
    <row r="132" spans="1:25">
      <c r="A132" s="451">
        <f t="shared" si="32"/>
        <v>341</v>
      </c>
      <c r="B132" s="407"/>
      <c r="C132" s="49"/>
      <c r="D132" s="49"/>
      <c r="E132" s="49"/>
      <c r="F132" s="49"/>
      <c r="G132" s="49"/>
      <c r="H132" s="50"/>
      <c r="I132" s="49"/>
      <c r="J132" s="49"/>
      <c r="K132" s="49">
        <f t="shared" ref="K132:K139" si="60">J132</f>
        <v>0</v>
      </c>
      <c r="L132" s="49"/>
      <c r="M132" s="46"/>
      <c r="N132" s="44"/>
      <c r="O132" s="44"/>
      <c r="P132" s="44">
        <f t="shared" si="45"/>
        <v>0</v>
      </c>
      <c r="Q132" s="265"/>
      <c r="R132" s="44">
        <f t="shared" si="38"/>
        <v>0</v>
      </c>
      <c r="S132" s="46"/>
      <c r="T132" s="458"/>
      <c r="U132" s="458"/>
      <c r="V132" s="458"/>
      <c r="W132" s="53">
        <f t="shared" si="58"/>
        <v>0</v>
      </c>
      <c r="X132" s="53">
        <f t="shared" si="59"/>
        <v>0</v>
      </c>
      <c r="Y132" s="346"/>
    </row>
    <row r="133" spans="1:25" ht="18.399999999999999" customHeight="1">
      <c r="A133" s="451">
        <f t="shared" si="32"/>
        <v>342</v>
      </c>
      <c r="B133" s="407" t="s">
        <v>428</v>
      </c>
      <c r="C133" s="49"/>
      <c r="D133" s="49">
        <v>9000</v>
      </c>
      <c r="E133" s="49"/>
      <c r="F133" s="49">
        <v>5000</v>
      </c>
      <c r="G133" s="49">
        <f>5000*0.75</f>
        <v>3750</v>
      </c>
      <c r="H133" s="50" t="s">
        <v>564</v>
      </c>
      <c r="I133" s="49"/>
      <c r="J133" s="49">
        <v>5000</v>
      </c>
      <c r="K133" s="49">
        <f t="shared" si="60"/>
        <v>5000</v>
      </c>
      <c r="L133" s="49"/>
      <c r="M133" s="46"/>
      <c r="N133" s="44"/>
      <c r="O133" s="44">
        <v>5000</v>
      </c>
      <c r="P133" s="44">
        <f t="shared" si="45"/>
        <v>5000</v>
      </c>
      <c r="Q133" s="265"/>
      <c r="R133" s="44">
        <f t="shared" si="38"/>
        <v>5000</v>
      </c>
      <c r="S133" s="46"/>
      <c r="T133" s="458">
        <v>5250</v>
      </c>
      <c r="U133" s="458"/>
      <c r="V133" s="458">
        <v>5513</v>
      </c>
      <c r="W133" s="53">
        <f t="shared" si="58"/>
        <v>5513</v>
      </c>
      <c r="X133" s="53">
        <f t="shared" si="59"/>
        <v>10763</v>
      </c>
      <c r="Y133" s="346"/>
    </row>
    <row r="134" spans="1:25">
      <c r="A134" s="451">
        <f t="shared" si="32"/>
        <v>343</v>
      </c>
      <c r="B134" s="407" t="s">
        <v>565</v>
      </c>
      <c r="C134" s="49"/>
      <c r="D134" s="49">
        <v>9000</v>
      </c>
      <c r="E134" s="49"/>
      <c r="F134" s="49">
        <v>30200</v>
      </c>
      <c r="G134" s="49">
        <v>10000</v>
      </c>
      <c r="H134" s="50"/>
      <c r="I134" s="49"/>
      <c r="J134" s="49">
        <v>23200</v>
      </c>
      <c r="K134" s="49">
        <f t="shared" si="60"/>
        <v>23200</v>
      </c>
      <c r="L134" s="49"/>
      <c r="M134" s="46"/>
      <c r="N134" s="44"/>
      <c r="O134" s="44">
        <v>23200</v>
      </c>
      <c r="P134" s="44">
        <f t="shared" si="45"/>
        <v>23200</v>
      </c>
      <c r="Q134" s="265"/>
      <c r="R134" s="44">
        <f t="shared" si="38"/>
        <v>23200</v>
      </c>
      <c r="S134" s="46"/>
      <c r="T134" s="458">
        <v>5000</v>
      </c>
      <c r="U134" s="458"/>
      <c r="V134" s="458">
        <v>5000</v>
      </c>
      <c r="W134" s="53">
        <f t="shared" si="58"/>
        <v>5000</v>
      </c>
      <c r="X134" s="53">
        <f t="shared" si="59"/>
        <v>10000</v>
      </c>
      <c r="Y134" s="346"/>
    </row>
    <row r="135" spans="1:25">
      <c r="A135" s="451">
        <f t="shared" si="32"/>
        <v>344</v>
      </c>
      <c r="B135" s="407" t="s">
        <v>566</v>
      </c>
      <c r="C135" s="49"/>
      <c r="D135" s="49">
        <v>1500</v>
      </c>
      <c r="E135" s="49"/>
      <c r="F135" s="49">
        <v>500</v>
      </c>
      <c r="G135" s="49">
        <v>0</v>
      </c>
      <c r="H135" s="50"/>
      <c r="I135" s="49"/>
      <c r="J135" s="49">
        <v>500</v>
      </c>
      <c r="K135" s="49">
        <f t="shared" si="60"/>
        <v>500</v>
      </c>
      <c r="L135" s="49"/>
      <c r="M135" s="46"/>
      <c r="N135" s="44"/>
      <c r="O135" s="44">
        <v>500</v>
      </c>
      <c r="P135" s="44">
        <f t="shared" si="45"/>
        <v>500</v>
      </c>
      <c r="Q135" s="265"/>
      <c r="R135" s="44">
        <f t="shared" si="38"/>
        <v>500</v>
      </c>
      <c r="S135" s="46"/>
      <c r="T135" s="458">
        <v>1000</v>
      </c>
      <c r="U135" s="458"/>
      <c r="V135" s="458">
        <v>1000</v>
      </c>
      <c r="W135" s="53">
        <f t="shared" si="58"/>
        <v>1000</v>
      </c>
      <c r="X135" s="53">
        <f t="shared" si="59"/>
        <v>2000</v>
      </c>
      <c r="Y135" s="346"/>
    </row>
    <row r="136" spans="1:25">
      <c r="A136" s="451">
        <f t="shared" si="32"/>
        <v>345</v>
      </c>
      <c r="B136" s="407" t="s">
        <v>484</v>
      </c>
      <c r="C136" s="49"/>
      <c r="D136" s="49">
        <v>3000</v>
      </c>
      <c r="E136" s="49"/>
      <c r="F136" s="49">
        <v>1500</v>
      </c>
      <c r="G136" s="49">
        <v>1500</v>
      </c>
      <c r="H136" s="50"/>
      <c r="I136" s="49"/>
      <c r="J136" s="49">
        <v>1000</v>
      </c>
      <c r="K136" s="49">
        <f t="shared" si="60"/>
        <v>1000</v>
      </c>
      <c r="L136" s="49"/>
      <c r="M136" s="46"/>
      <c r="N136" s="44"/>
      <c r="O136" s="44">
        <v>1000</v>
      </c>
      <c r="P136" s="44">
        <f t="shared" si="45"/>
        <v>1000</v>
      </c>
      <c r="Q136" s="265"/>
      <c r="R136" s="44">
        <f t="shared" si="38"/>
        <v>1000</v>
      </c>
      <c r="S136" s="46"/>
      <c r="T136" s="458">
        <v>1545</v>
      </c>
      <c r="U136" s="458"/>
      <c r="V136" s="458">
        <v>1591</v>
      </c>
      <c r="W136" s="53">
        <f t="shared" si="58"/>
        <v>1591</v>
      </c>
      <c r="X136" s="53">
        <f t="shared" si="59"/>
        <v>3136</v>
      </c>
      <c r="Y136" s="346"/>
    </row>
    <row r="137" spans="1:25">
      <c r="A137" s="451">
        <f t="shared" ref="A137:A140" si="61">A136+1</f>
        <v>346</v>
      </c>
      <c r="B137" s="407" t="s">
        <v>496</v>
      </c>
      <c r="C137" s="49"/>
      <c r="D137" s="49">
        <v>3000</v>
      </c>
      <c r="E137" s="49"/>
      <c r="F137" s="49">
        <v>1000</v>
      </c>
      <c r="G137" s="49">
        <v>1000</v>
      </c>
      <c r="H137" s="50"/>
      <c r="I137" s="49"/>
      <c r="J137" s="49">
        <v>1000</v>
      </c>
      <c r="K137" s="49">
        <f t="shared" si="60"/>
        <v>1000</v>
      </c>
      <c r="L137" s="49"/>
      <c r="M137" s="46"/>
      <c r="N137" s="44"/>
      <c r="O137" s="44">
        <v>1000</v>
      </c>
      <c r="P137" s="44">
        <f t="shared" si="45"/>
        <v>1000</v>
      </c>
      <c r="Q137" s="265"/>
      <c r="R137" s="44">
        <f t="shared" si="38"/>
        <v>1000</v>
      </c>
      <c r="S137" s="46"/>
      <c r="T137" s="458">
        <v>500</v>
      </c>
      <c r="U137" s="458"/>
      <c r="V137" s="458">
        <v>500</v>
      </c>
      <c r="W137" s="53">
        <f t="shared" si="58"/>
        <v>500</v>
      </c>
      <c r="X137" s="53">
        <f t="shared" si="59"/>
        <v>1000</v>
      </c>
      <c r="Y137" s="346"/>
    </row>
    <row r="138" spans="1:25">
      <c r="A138" s="451">
        <f t="shared" si="61"/>
        <v>347</v>
      </c>
      <c r="B138" s="407" t="s">
        <v>509</v>
      </c>
      <c r="C138" s="49"/>
      <c r="D138" s="49">
        <v>6500</v>
      </c>
      <c r="E138" s="49"/>
      <c r="F138" s="49">
        <v>4300</v>
      </c>
      <c r="G138" s="49">
        <v>4300</v>
      </c>
      <c r="H138" s="50"/>
      <c r="I138" s="49"/>
      <c r="J138" s="49">
        <v>1500</v>
      </c>
      <c r="K138" s="49">
        <f t="shared" si="60"/>
        <v>1500</v>
      </c>
      <c r="L138" s="49"/>
      <c r="M138" s="46"/>
      <c r="N138" s="44"/>
      <c r="O138" s="44">
        <v>800</v>
      </c>
      <c r="P138" s="44">
        <f t="shared" si="45"/>
        <v>800</v>
      </c>
      <c r="Q138" s="265"/>
      <c r="R138" s="44">
        <f t="shared" si="38"/>
        <v>800</v>
      </c>
      <c r="S138" s="46"/>
      <c r="T138" s="458">
        <v>500</v>
      </c>
      <c r="U138" s="458"/>
      <c r="V138" s="458">
        <v>500</v>
      </c>
      <c r="W138" s="53">
        <f t="shared" si="58"/>
        <v>500</v>
      </c>
      <c r="X138" s="53">
        <f t="shared" si="59"/>
        <v>1000</v>
      </c>
      <c r="Y138" s="346"/>
    </row>
    <row r="139" spans="1:25">
      <c r="A139" s="451">
        <f t="shared" si="61"/>
        <v>348</v>
      </c>
      <c r="B139" s="407" t="s">
        <v>567</v>
      </c>
      <c r="C139" s="49"/>
      <c r="D139" s="49">
        <v>3500</v>
      </c>
      <c r="E139" s="49"/>
      <c r="F139" s="49">
        <v>1500</v>
      </c>
      <c r="G139" s="49">
        <v>1500</v>
      </c>
      <c r="H139" s="50"/>
      <c r="I139" s="49"/>
      <c r="J139" s="49">
        <v>1500</v>
      </c>
      <c r="K139" s="49">
        <f t="shared" si="60"/>
        <v>1500</v>
      </c>
      <c r="L139" s="49"/>
      <c r="M139" s="46"/>
      <c r="N139" s="44"/>
      <c r="O139" s="44">
        <v>1500</v>
      </c>
      <c r="P139" s="44">
        <f t="shared" si="45"/>
        <v>1500</v>
      </c>
      <c r="Q139" s="265"/>
      <c r="R139" s="44">
        <f t="shared" si="38"/>
        <v>1500</v>
      </c>
      <c r="S139" s="46"/>
      <c r="T139" s="458">
        <v>1500</v>
      </c>
      <c r="U139" s="458"/>
      <c r="V139" s="458">
        <v>1500</v>
      </c>
      <c r="W139" s="53">
        <f t="shared" si="58"/>
        <v>1500</v>
      </c>
      <c r="X139" s="53">
        <f t="shared" si="59"/>
        <v>3000</v>
      </c>
      <c r="Y139" s="346"/>
    </row>
    <row r="140" spans="1:25" s="354" customFormat="1">
      <c r="A140" s="460">
        <f t="shared" si="61"/>
        <v>349</v>
      </c>
      <c r="B140" s="461" t="s">
        <v>568</v>
      </c>
      <c r="C140" s="309">
        <f>SUM(C129:C139)</f>
        <v>216000</v>
      </c>
      <c r="D140" s="309">
        <f t="shared" ref="D140:K140" si="62">SUM(D130:D139)</f>
        <v>302500</v>
      </c>
      <c r="E140" s="309">
        <v>36088</v>
      </c>
      <c r="F140" s="309">
        <f t="shared" si="62"/>
        <v>128000</v>
      </c>
      <c r="G140" s="309">
        <f>SUM(G130:G139)</f>
        <v>106050</v>
      </c>
      <c r="H140" s="309">
        <f t="shared" ref="H140" si="63">SUM(H130:H139)</f>
        <v>0</v>
      </c>
      <c r="I140" s="309">
        <f t="shared" si="62"/>
        <v>20000</v>
      </c>
      <c r="J140" s="309">
        <f t="shared" si="62"/>
        <v>138700</v>
      </c>
      <c r="K140" s="309">
        <f t="shared" si="62"/>
        <v>158700</v>
      </c>
      <c r="L140" s="309">
        <f>E140+G140+K140</f>
        <v>300838</v>
      </c>
      <c r="M140" s="311"/>
      <c r="N140" s="312">
        <f t="shared" ref="N140:P140" si="64">SUM(N130:N139)</f>
        <v>20000</v>
      </c>
      <c r="O140" s="312">
        <f t="shared" si="64"/>
        <v>138000</v>
      </c>
      <c r="P140" s="312">
        <f t="shared" si="64"/>
        <v>158000</v>
      </c>
      <c r="Q140" s="475"/>
      <c r="R140" s="312">
        <f t="shared" ref="R140:R203" si="65">P140</f>
        <v>158000</v>
      </c>
      <c r="S140" s="311"/>
      <c r="T140" s="314">
        <f t="shared" ref="T140:Y140" si="66">SUM(T130:T139)</f>
        <v>97695</v>
      </c>
      <c r="U140" s="314">
        <f t="shared" si="66"/>
        <v>20000</v>
      </c>
      <c r="V140" s="314">
        <f t="shared" si="66"/>
        <v>100476</v>
      </c>
      <c r="W140" s="314">
        <f t="shared" si="66"/>
        <v>120476</v>
      </c>
      <c r="X140" s="314">
        <f t="shared" si="66"/>
        <v>218171</v>
      </c>
      <c r="Y140" s="314">
        <f t="shared" si="66"/>
        <v>0</v>
      </c>
    </row>
    <row r="141" spans="1:25" s="354" customFormat="1">
      <c r="A141" s="406"/>
      <c r="B141" s="409"/>
      <c r="C141" s="453"/>
      <c r="D141" s="453"/>
      <c r="E141" s="453"/>
      <c r="F141" s="453"/>
      <c r="G141" s="453"/>
      <c r="H141" s="339"/>
      <c r="I141" s="453"/>
      <c r="J141" s="453"/>
      <c r="K141" s="453"/>
      <c r="L141" s="453"/>
      <c r="M141" s="454"/>
      <c r="N141" s="455"/>
      <c r="O141" s="455"/>
      <c r="P141" s="455">
        <f t="shared" si="45"/>
        <v>0</v>
      </c>
      <c r="Q141" s="456"/>
      <c r="R141" s="455">
        <f t="shared" si="65"/>
        <v>0</v>
      </c>
      <c r="S141" s="454"/>
      <c r="T141" s="457"/>
      <c r="U141" s="457"/>
      <c r="V141" s="457"/>
      <c r="W141" s="457"/>
      <c r="X141" s="457"/>
      <c r="Y141" s="457"/>
    </row>
    <row r="142" spans="1:25" ht="45.75" customHeight="1">
      <c r="A142" s="451">
        <f>A140+1</f>
        <v>350</v>
      </c>
      <c r="B142" s="407" t="s">
        <v>181</v>
      </c>
      <c r="C142" s="49">
        <v>6913663</v>
      </c>
      <c r="D142" s="195">
        <v>7285746.7831795923</v>
      </c>
      <c r="E142" s="240">
        <v>2052131</v>
      </c>
      <c r="F142" s="240">
        <f>'[3]Salary Summary 19 for 2019-2021'!L12</f>
        <v>2275217.7956682723</v>
      </c>
      <c r="G142" s="453">
        <f>F142</f>
        <v>2275217.7956682723</v>
      </c>
      <c r="H142" s="194" t="s">
        <v>569</v>
      </c>
      <c r="I142" s="240"/>
      <c r="J142" s="240">
        <f>'[3]Salary Summary 20 for 2019-2021'!P12</f>
        <v>2311490.0311741536</v>
      </c>
      <c r="K142" s="240">
        <f>J142</f>
        <v>2311490.0311741536</v>
      </c>
      <c r="L142" s="240">
        <f>E142+G142+K142</f>
        <v>6638838.8268424254</v>
      </c>
      <c r="M142" s="476"/>
      <c r="N142" s="283"/>
      <c r="O142" s="283">
        <f>'Salary Summary 21 for 2022-2024'!M13</f>
        <v>2469311.4112935555</v>
      </c>
      <c r="P142" s="283">
        <f t="shared" si="45"/>
        <v>2469311.4112935555</v>
      </c>
      <c r="Q142" s="243" t="s">
        <v>570</v>
      </c>
      <c r="R142" s="283">
        <f t="shared" si="65"/>
        <v>2469311.4112935555</v>
      </c>
      <c r="S142" s="476"/>
      <c r="T142" s="238">
        <f>'Salary Summary 21 for 2022-2024'!Q13</f>
        <v>2658895.194997706</v>
      </c>
      <c r="U142" s="346"/>
      <c r="V142" s="238">
        <f>'Salary Summary 21 for 2022-2024'!U13</f>
        <v>2745512.4584583747</v>
      </c>
      <c r="W142" s="53">
        <f t="shared" ref="W142:W143" si="67">U142+V142</f>
        <v>2745512.4584583747</v>
      </c>
      <c r="X142" s="53">
        <f t="shared" ref="X142:X143" si="68">T142+W142</f>
        <v>5404407.6534560807</v>
      </c>
      <c r="Y142" s="346" t="s">
        <v>571</v>
      </c>
    </row>
    <row r="143" spans="1:25">
      <c r="A143" s="451">
        <f t="shared" ref="A143:A206" si="69">A142+1</f>
        <v>351</v>
      </c>
      <c r="B143" s="407" t="s">
        <v>572</v>
      </c>
      <c r="C143" s="49">
        <v>-750000</v>
      </c>
      <c r="D143" s="49">
        <v>-570000</v>
      </c>
      <c r="E143" s="49"/>
      <c r="F143" s="49"/>
      <c r="G143" s="240"/>
      <c r="H143" s="194"/>
      <c r="I143" s="49"/>
      <c r="J143" s="49"/>
      <c r="K143" s="49"/>
      <c r="L143" s="49"/>
      <c r="M143" s="46"/>
      <c r="N143" s="44"/>
      <c r="O143" s="44"/>
      <c r="P143" s="44">
        <f t="shared" si="45"/>
        <v>0</v>
      </c>
      <c r="Q143" s="265"/>
      <c r="R143" s="44">
        <f t="shared" si="65"/>
        <v>0</v>
      </c>
      <c r="S143" s="46"/>
      <c r="T143" s="346"/>
      <c r="U143" s="346"/>
      <c r="V143" s="346"/>
      <c r="W143" s="53">
        <f t="shared" si="67"/>
        <v>0</v>
      </c>
      <c r="X143" s="53">
        <f t="shared" si="68"/>
        <v>0</v>
      </c>
      <c r="Y143" s="346"/>
    </row>
    <row r="144" spans="1:25" s="354" customFormat="1">
      <c r="A144" s="477">
        <f t="shared" si="69"/>
        <v>352</v>
      </c>
      <c r="B144" s="414" t="s">
        <v>573</v>
      </c>
      <c r="C144" s="415">
        <f>C142+C140+C127+C100+C87+C74+C61+C49+C35+C22+C143</f>
        <v>10032483</v>
      </c>
      <c r="D144" s="415">
        <f t="shared" ref="D144:K144" si="70">D142+D140+D127+D100+D87+D74+D61+D49+D35+D22+D143</f>
        <v>10680016.783179592</v>
      </c>
      <c r="E144" s="415">
        <f t="shared" si="70"/>
        <v>3012830</v>
      </c>
      <c r="F144" s="415">
        <f t="shared" si="70"/>
        <v>3503823.4623349388</v>
      </c>
      <c r="G144" s="415">
        <f t="shared" si="70"/>
        <v>3162819.0456682723</v>
      </c>
      <c r="H144" s="415"/>
      <c r="I144" s="415">
        <f t="shared" si="70"/>
        <v>493500</v>
      </c>
      <c r="J144" s="415">
        <f t="shared" si="70"/>
        <v>3496276.0311741536</v>
      </c>
      <c r="K144" s="415">
        <f t="shared" si="70"/>
        <v>3989776.0311741536</v>
      </c>
      <c r="L144" s="415">
        <f>E144+G144+K144</f>
        <v>10165425.076842425</v>
      </c>
      <c r="M144" s="416"/>
      <c r="N144" s="417">
        <f t="shared" ref="N144:P144" si="71">N142+N140+N127+N100+N87+N74+N61+N49+N35+N22+N143</f>
        <v>493500</v>
      </c>
      <c r="O144" s="417">
        <f t="shared" si="71"/>
        <v>3614635.4112935555</v>
      </c>
      <c r="P144" s="417">
        <f t="shared" si="71"/>
        <v>4103135.4112935555</v>
      </c>
      <c r="Q144" s="418"/>
      <c r="R144" s="417">
        <f t="shared" si="65"/>
        <v>4103135.4112935555</v>
      </c>
      <c r="S144" s="416"/>
      <c r="T144" s="443">
        <f t="shared" ref="T144:X144" si="72">T142+T140+T127+T100+T87+T74+T61+T49+T35+T22+T143</f>
        <v>3752414.194997706</v>
      </c>
      <c r="U144" s="443">
        <f t="shared" si="72"/>
        <v>499500</v>
      </c>
      <c r="V144" s="443">
        <f t="shared" si="72"/>
        <v>3842112.4584583747</v>
      </c>
      <c r="W144" s="443">
        <f t="shared" si="72"/>
        <v>4341612.4584583752</v>
      </c>
      <c r="X144" s="443">
        <f t="shared" si="72"/>
        <v>8094026.6534560807</v>
      </c>
      <c r="Y144" s="443"/>
    </row>
    <row r="145" spans="1:25">
      <c r="A145" s="451">
        <f t="shared" si="69"/>
        <v>353</v>
      </c>
      <c r="B145" s="407"/>
      <c r="C145" s="49"/>
      <c r="D145" s="49"/>
      <c r="E145" s="49"/>
      <c r="F145" s="49"/>
      <c r="G145" s="478"/>
      <c r="H145" s="246"/>
      <c r="I145" s="49"/>
      <c r="J145" s="49"/>
      <c r="K145" s="49"/>
      <c r="L145" s="49"/>
      <c r="M145" s="46"/>
      <c r="N145" s="44"/>
      <c r="O145" s="44"/>
      <c r="P145" s="44">
        <f t="shared" ref="P145:P208" si="73">N145+O145</f>
        <v>0</v>
      </c>
      <c r="Q145" s="265"/>
      <c r="R145" s="44">
        <f t="shared" si="65"/>
        <v>0</v>
      </c>
      <c r="S145" s="46"/>
      <c r="T145" s="346"/>
      <c r="U145" s="346"/>
      <c r="V145" s="346"/>
      <c r="W145" s="346"/>
      <c r="X145" s="346"/>
      <c r="Y145" s="346"/>
    </row>
    <row r="146" spans="1:25">
      <c r="A146" s="406">
        <f t="shared" si="69"/>
        <v>354</v>
      </c>
      <c r="B146" s="409" t="s">
        <v>574</v>
      </c>
      <c r="C146" s="49"/>
      <c r="D146" s="49"/>
      <c r="E146" s="49"/>
      <c r="F146" s="49"/>
      <c r="G146" s="49"/>
      <c r="H146" s="50"/>
      <c r="I146" s="49"/>
      <c r="J146" s="49"/>
      <c r="K146" s="49"/>
      <c r="L146" s="49"/>
      <c r="M146" s="46"/>
      <c r="N146" s="44"/>
      <c r="O146" s="44"/>
      <c r="P146" s="44">
        <f t="shared" si="73"/>
        <v>0</v>
      </c>
      <c r="Q146" s="265"/>
      <c r="R146" s="44">
        <f t="shared" si="65"/>
        <v>0</v>
      </c>
      <c r="S146" s="46"/>
      <c r="T146" s="346"/>
      <c r="U146" s="346"/>
      <c r="V146" s="346"/>
      <c r="W146" s="346"/>
      <c r="X146" s="346"/>
      <c r="Y146" s="346"/>
    </row>
    <row r="147" spans="1:25">
      <c r="A147" s="451">
        <f t="shared" si="69"/>
        <v>355</v>
      </c>
      <c r="B147" s="194" t="s">
        <v>575</v>
      </c>
      <c r="C147" s="195">
        <v>100000</v>
      </c>
      <c r="D147" s="241"/>
      <c r="E147" s="195"/>
      <c r="F147" s="195"/>
      <c r="G147" s="195"/>
      <c r="H147" s="241"/>
      <c r="I147" s="195"/>
      <c r="J147" s="195"/>
      <c r="K147" s="195"/>
      <c r="L147" s="195"/>
      <c r="M147" s="273"/>
      <c r="N147" s="196"/>
      <c r="O147" s="196"/>
      <c r="P147" s="196">
        <f t="shared" si="73"/>
        <v>0</v>
      </c>
      <c r="Q147" s="243"/>
      <c r="R147" s="196">
        <f t="shared" si="65"/>
        <v>0</v>
      </c>
      <c r="S147" s="273"/>
      <c r="T147" s="346"/>
      <c r="U147" s="346"/>
      <c r="V147" s="346"/>
      <c r="W147" s="53">
        <f t="shared" ref="W147:W161" si="74">U147+V147</f>
        <v>0</v>
      </c>
      <c r="X147" s="53">
        <f t="shared" ref="X147:X161" si="75">T147+W147</f>
        <v>0</v>
      </c>
      <c r="Y147" s="346"/>
    </row>
    <row r="148" spans="1:25">
      <c r="A148" s="451">
        <f t="shared" si="69"/>
        <v>356</v>
      </c>
      <c r="B148" s="194" t="s">
        <v>576</v>
      </c>
      <c r="C148" s="195"/>
      <c r="D148" s="241"/>
      <c r="E148" s="195"/>
      <c r="F148" s="195"/>
      <c r="G148" s="195"/>
      <c r="H148" s="241"/>
      <c r="I148" s="195"/>
      <c r="J148" s="195"/>
      <c r="K148" s="195"/>
      <c r="L148" s="195"/>
      <c r="M148" s="273"/>
      <c r="N148" s="196"/>
      <c r="O148" s="196"/>
      <c r="P148" s="196">
        <f t="shared" si="73"/>
        <v>0</v>
      </c>
      <c r="Q148" s="250"/>
      <c r="R148" s="196">
        <f t="shared" si="65"/>
        <v>0</v>
      </c>
      <c r="S148" s="273"/>
      <c r="T148" s="346"/>
      <c r="U148" s="346"/>
      <c r="V148" s="346"/>
      <c r="W148" s="53">
        <f t="shared" si="74"/>
        <v>0</v>
      </c>
      <c r="X148" s="53">
        <f t="shared" si="75"/>
        <v>0</v>
      </c>
      <c r="Y148" s="346"/>
    </row>
    <row r="149" spans="1:25" ht="42" customHeight="1">
      <c r="A149" s="451" t="s">
        <v>577</v>
      </c>
      <c r="B149" s="194" t="s">
        <v>578</v>
      </c>
      <c r="C149" s="195">
        <v>145602</v>
      </c>
      <c r="D149" s="241">
        <v>250000</v>
      </c>
      <c r="E149" s="342">
        <v>47555</v>
      </c>
      <c r="F149" s="342">
        <v>93333.33</v>
      </c>
      <c r="G149" s="342">
        <v>60000</v>
      </c>
      <c r="H149" s="479" t="s">
        <v>579</v>
      </c>
      <c r="I149" s="342">
        <v>25000</v>
      </c>
      <c r="J149" s="342">
        <v>58333</v>
      </c>
      <c r="K149" s="342">
        <f>J149</f>
        <v>58333</v>
      </c>
      <c r="L149" s="342"/>
      <c r="M149" s="480"/>
      <c r="N149" s="481">
        <v>25000</v>
      </c>
      <c r="O149" s="481">
        <v>50000</v>
      </c>
      <c r="P149" s="481">
        <f t="shared" si="73"/>
        <v>75000</v>
      </c>
      <c r="Q149" s="250"/>
      <c r="R149" s="481">
        <f t="shared" si="65"/>
        <v>75000</v>
      </c>
      <c r="S149" s="480"/>
      <c r="T149" s="482">
        <v>50000</v>
      </c>
      <c r="U149" s="482"/>
      <c r="V149" s="482">
        <v>50000</v>
      </c>
      <c r="W149" s="53">
        <f t="shared" si="74"/>
        <v>50000</v>
      </c>
      <c r="X149" s="53">
        <f t="shared" si="75"/>
        <v>100000</v>
      </c>
      <c r="Y149" s="483" t="s">
        <v>580</v>
      </c>
    </row>
    <row r="150" spans="1:25" ht="105" customHeight="1">
      <c r="A150" s="451" t="s">
        <v>581</v>
      </c>
      <c r="B150" s="425" t="s">
        <v>582</v>
      </c>
      <c r="C150" s="195"/>
      <c r="D150" s="241">
        <v>150000</v>
      </c>
      <c r="E150" s="342">
        <v>0</v>
      </c>
      <c r="F150" s="342">
        <v>50000</v>
      </c>
      <c r="G150" s="342">
        <v>50000</v>
      </c>
      <c r="H150" s="479" t="s">
        <v>583</v>
      </c>
      <c r="I150" s="342"/>
      <c r="J150" s="342">
        <v>50000</v>
      </c>
      <c r="K150" s="342">
        <f t="shared" ref="K150:K161" si="76">J150</f>
        <v>50000</v>
      </c>
      <c r="L150" s="342"/>
      <c r="M150" s="480"/>
      <c r="N150" s="481"/>
      <c r="O150" s="481">
        <v>175000</v>
      </c>
      <c r="P150" s="481">
        <f t="shared" si="73"/>
        <v>175000</v>
      </c>
      <c r="Q150" s="250" t="s">
        <v>584</v>
      </c>
      <c r="R150" s="481">
        <f t="shared" si="65"/>
        <v>175000</v>
      </c>
      <c r="S150" s="480"/>
      <c r="T150" s="482">
        <v>145000</v>
      </c>
      <c r="U150" s="482"/>
      <c r="V150" s="482">
        <v>145000</v>
      </c>
      <c r="W150" s="53">
        <f t="shared" si="74"/>
        <v>145000</v>
      </c>
      <c r="X150" s="53">
        <f t="shared" si="75"/>
        <v>290000</v>
      </c>
      <c r="Y150" s="484" t="s">
        <v>585</v>
      </c>
    </row>
    <row r="151" spans="1:25" ht="28.5">
      <c r="A151" s="451">
        <v>358</v>
      </c>
      <c r="B151" s="194" t="s">
        <v>586</v>
      </c>
      <c r="C151" s="195">
        <v>106000</v>
      </c>
      <c r="D151" s="241">
        <v>146000</v>
      </c>
      <c r="E151" s="342">
        <v>21203</v>
      </c>
      <c r="F151" s="342">
        <v>48667</v>
      </c>
      <c r="G151" s="195">
        <v>31650</v>
      </c>
      <c r="H151" s="479"/>
      <c r="I151" s="342"/>
      <c r="J151" s="342">
        <v>48667</v>
      </c>
      <c r="K151" s="342">
        <f t="shared" si="76"/>
        <v>48667</v>
      </c>
      <c r="L151" s="342"/>
      <c r="M151" s="480"/>
      <c r="N151" s="481"/>
      <c r="O151" s="481">
        <v>48666</v>
      </c>
      <c r="P151" s="481">
        <f t="shared" si="73"/>
        <v>48666</v>
      </c>
      <c r="Q151" s="250"/>
      <c r="R151" s="481">
        <f t="shared" si="65"/>
        <v>48666</v>
      </c>
      <c r="S151" s="480"/>
      <c r="T151" s="482">
        <v>48666</v>
      </c>
      <c r="U151" s="482"/>
      <c r="V151" s="482">
        <v>48667</v>
      </c>
      <c r="W151" s="53">
        <f t="shared" si="74"/>
        <v>48667</v>
      </c>
      <c r="X151" s="53">
        <f t="shared" si="75"/>
        <v>97333</v>
      </c>
      <c r="Y151" s="484"/>
    </row>
    <row r="152" spans="1:25" ht="28.5">
      <c r="A152" s="451">
        <f t="shared" si="69"/>
        <v>359</v>
      </c>
      <c r="B152" s="251" t="s">
        <v>587</v>
      </c>
      <c r="C152" s="195">
        <v>400000</v>
      </c>
      <c r="D152" s="241">
        <v>399999.66666666669</v>
      </c>
      <c r="E152" s="342">
        <v>133275</v>
      </c>
      <c r="F152" s="342">
        <v>133333.32999999999</v>
      </c>
      <c r="G152" s="342">
        <v>132638</v>
      </c>
      <c r="H152" s="479" t="s">
        <v>519</v>
      </c>
      <c r="I152" s="342"/>
      <c r="J152" s="342">
        <v>133333</v>
      </c>
      <c r="K152" s="342">
        <f t="shared" si="76"/>
        <v>133333</v>
      </c>
      <c r="L152" s="342"/>
      <c r="M152" s="480"/>
      <c r="N152" s="481"/>
      <c r="O152" s="481">
        <v>160000</v>
      </c>
      <c r="P152" s="481">
        <f t="shared" si="73"/>
        <v>160000</v>
      </c>
      <c r="Q152" s="250" t="s">
        <v>588</v>
      </c>
      <c r="R152" s="481">
        <f t="shared" si="65"/>
        <v>160000</v>
      </c>
      <c r="S152" s="480"/>
      <c r="T152" s="482">
        <v>160000</v>
      </c>
      <c r="U152" s="482"/>
      <c r="V152" s="482">
        <v>160000</v>
      </c>
      <c r="W152" s="53">
        <f t="shared" si="74"/>
        <v>160000</v>
      </c>
      <c r="X152" s="53">
        <f t="shared" si="75"/>
        <v>320000</v>
      </c>
      <c r="Y152" s="484" t="s">
        <v>589</v>
      </c>
    </row>
    <row r="153" spans="1:25" ht="47.25" customHeight="1">
      <c r="A153" s="451">
        <f t="shared" si="69"/>
        <v>360</v>
      </c>
      <c r="B153" s="194" t="s">
        <v>590</v>
      </c>
      <c r="C153" s="195">
        <v>605000</v>
      </c>
      <c r="D153" s="241">
        <v>230000</v>
      </c>
      <c r="E153" s="195">
        <v>145056</v>
      </c>
      <c r="F153" s="195">
        <v>80000</v>
      </c>
      <c r="G153" s="195">
        <v>15000</v>
      </c>
      <c r="H153" s="241" t="s">
        <v>591</v>
      </c>
      <c r="I153" s="195">
        <v>60000</v>
      </c>
      <c r="J153" s="195">
        <v>20000</v>
      </c>
      <c r="K153" s="342">
        <f t="shared" si="76"/>
        <v>20000</v>
      </c>
      <c r="L153" s="342"/>
      <c r="M153" s="480"/>
      <c r="N153" s="196">
        <v>60000</v>
      </c>
      <c r="O153" s="481">
        <v>50000</v>
      </c>
      <c r="P153" s="481">
        <f t="shared" si="73"/>
        <v>110000</v>
      </c>
      <c r="Q153" s="250" t="s">
        <v>592</v>
      </c>
      <c r="R153" s="481">
        <f t="shared" si="65"/>
        <v>110000</v>
      </c>
      <c r="S153" s="480"/>
      <c r="T153" s="482">
        <v>80000</v>
      </c>
      <c r="U153" s="482"/>
      <c r="V153" s="482">
        <v>100000</v>
      </c>
      <c r="W153" s="53">
        <f t="shared" si="74"/>
        <v>100000</v>
      </c>
      <c r="X153" s="53">
        <f t="shared" si="75"/>
        <v>180000</v>
      </c>
      <c r="Y153" s="484"/>
    </row>
    <row r="154" spans="1:25" ht="36">
      <c r="A154" s="451" t="s">
        <v>593</v>
      </c>
      <c r="B154" s="485" t="s">
        <v>594</v>
      </c>
      <c r="C154" s="195">
        <v>0</v>
      </c>
      <c r="D154" s="241">
        <v>1047000</v>
      </c>
      <c r="E154" s="195"/>
      <c r="F154" s="195">
        <v>0</v>
      </c>
      <c r="G154" s="195"/>
      <c r="H154" s="241"/>
      <c r="I154" s="195"/>
      <c r="J154" s="195"/>
      <c r="K154" s="342">
        <f t="shared" si="76"/>
        <v>0</v>
      </c>
      <c r="L154" s="342"/>
      <c r="M154" s="480"/>
      <c r="N154" s="196"/>
      <c r="O154" s="481"/>
      <c r="P154" s="481">
        <f t="shared" si="73"/>
        <v>0</v>
      </c>
      <c r="Q154" s="250"/>
      <c r="R154" s="481">
        <f t="shared" si="65"/>
        <v>0</v>
      </c>
      <c r="S154" s="480"/>
      <c r="T154" s="482"/>
      <c r="U154" s="482"/>
      <c r="V154" s="482"/>
      <c r="W154" s="53">
        <f t="shared" si="74"/>
        <v>0</v>
      </c>
      <c r="X154" s="53">
        <f t="shared" si="75"/>
        <v>0</v>
      </c>
      <c r="Y154" s="484"/>
    </row>
    <row r="155" spans="1:25" ht="41.25" customHeight="1">
      <c r="A155" s="451" t="s">
        <v>595</v>
      </c>
      <c r="B155" s="194" t="s">
        <v>596</v>
      </c>
      <c r="C155" s="195"/>
      <c r="D155" s="241">
        <v>0</v>
      </c>
      <c r="E155" s="195">
        <v>60000</v>
      </c>
      <c r="F155" s="195">
        <v>832000</v>
      </c>
      <c r="G155" s="195">
        <v>832000</v>
      </c>
      <c r="H155" s="241" t="s">
        <v>597</v>
      </c>
      <c r="I155" s="195">
        <v>0</v>
      </c>
      <c r="J155" s="195">
        <v>370000</v>
      </c>
      <c r="K155" s="342">
        <f t="shared" si="76"/>
        <v>370000</v>
      </c>
      <c r="L155" s="342">
        <f>E155+G155+K155-832000+60000</f>
        <v>490000</v>
      </c>
      <c r="M155" s="480"/>
      <c r="N155" s="196">
        <v>0</v>
      </c>
      <c r="O155" s="481">
        <v>80000</v>
      </c>
      <c r="P155" s="481">
        <f t="shared" si="73"/>
        <v>80000</v>
      </c>
      <c r="Q155" s="250" t="s">
        <v>598</v>
      </c>
      <c r="R155" s="481">
        <f t="shared" si="65"/>
        <v>80000</v>
      </c>
      <c r="S155" s="480"/>
      <c r="T155" s="482">
        <v>802000</v>
      </c>
      <c r="U155" s="482"/>
      <c r="V155" s="482">
        <v>15000</v>
      </c>
      <c r="W155" s="53">
        <f t="shared" si="74"/>
        <v>15000</v>
      </c>
      <c r="X155" s="53">
        <f t="shared" si="75"/>
        <v>817000</v>
      </c>
      <c r="Y155" s="484" t="s">
        <v>599</v>
      </c>
    </row>
    <row r="156" spans="1:25" ht="17.850000000000001" customHeight="1">
      <c r="A156" s="451" t="s">
        <v>600</v>
      </c>
      <c r="B156" s="194" t="s">
        <v>601</v>
      </c>
      <c r="C156" s="195"/>
      <c r="D156" s="241">
        <v>0</v>
      </c>
      <c r="E156" s="195">
        <v>277869</v>
      </c>
      <c r="F156" s="195">
        <v>100000</v>
      </c>
      <c r="G156" s="195">
        <v>0</v>
      </c>
      <c r="H156" s="241" t="s">
        <v>602</v>
      </c>
      <c r="I156" s="195"/>
      <c r="J156" s="195">
        <v>75000</v>
      </c>
      <c r="K156" s="342">
        <f t="shared" si="76"/>
        <v>75000</v>
      </c>
      <c r="L156" s="342"/>
      <c r="M156" s="480"/>
      <c r="N156" s="196"/>
      <c r="O156" s="481">
        <v>40000</v>
      </c>
      <c r="P156" s="481">
        <f t="shared" si="73"/>
        <v>40000</v>
      </c>
      <c r="Q156" s="250"/>
      <c r="R156" s="481">
        <f t="shared" si="65"/>
        <v>40000</v>
      </c>
      <c r="S156" s="480"/>
      <c r="T156" s="482">
        <v>270000</v>
      </c>
      <c r="U156" s="482"/>
      <c r="V156" s="482">
        <v>40000</v>
      </c>
      <c r="W156" s="53">
        <f t="shared" si="74"/>
        <v>40000</v>
      </c>
      <c r="X156" s="53">
        <f t="shared" si="75"/>
        <v>310000</v>
      </c>
      <c r="Y156" s="484"/>
    </row>
    <row r="157" spans="1:25" ht="42.75">
      <c r="A157" s="451">
        <v>362</v>
      </c>
      <c r="B157" s="485" t="s">
        <v>603</v>
      </c>
      <c r="C157" s="195"/>
      <c r="D157" s="241">
        <v>200000</v>
      </c>
      <c r="E157" s="195"/>
      <c r="F157" s="195"/>
      <c r="G157" s="195"/>
      <c r="H157" s="241"/>
      <c r="I157" s="195"/>
      <c r="J157" s="195">
        <v>0</v>
      </c>
      <c r="K157" s="342">
        <f t="shared" si="76"/>
        <v>0</v>
      </c>
      <c r="L157" s="342"/>
      <c r="M157" s="480"/>
      <c r="N157" s="196"/>
      <c r="O157" s="481">
        <v>80000</v>
      </c>
      <c r="P157" s="481">
        <f t="shared" si="73"/>
        <v>80000</v>
      </c>
      <c r="Q157" s="250" t="s">
        <v>604</v>
      </c>
      <c r="R157" s="481">
        <f t="shared" si="65"/>
        <v>80000</v>
      </c>
      <c r="S157" s="480"/>
      <c r="T157" s="482">
        <v>100000</v>
      </c>
      <c r="U157" s="482"/>
      <c r="V157" s="482">
        <v>100000</v>
      </c>
      <c r="W157" s="53">
        <f t="shared" si="74"/>
        <v>100000</v>
      </c>
      <c r="X157" s="53">
        <f t="shared" si="75"/>
        <v>200000</v>
      </c>
      <c r="Y157" s="484" t="s">
        <v>604</v>
      </c>
    </row>
    <row r="158" spans="1:25" ht="18">
      <c r="A158" s="451">
        <f t="shared" si="69"/>
        <v>363</v>
      </c>
      <c r="B158" s="486" t="s">
        <v>575</v>
      </c>
      <c r="C158" s="195"/>
      <c r="D158" s="241">
        <v>60000</v>
      </c>
      <c r="E158" s="487"/>
      <c r="F158" s="195">
        <v>20000</v>
      </c>
      <c r="G158" s="195">
        <v>4000</v>
      </c>
      <c r="H158" s="241"/>
      <c r="I158" s="195"/>
      <c r="J158" s="195">
        <v>20000</v>
      </c>
      <c r="K158" s="342">
        <f t="shared" si="76"/>
        <v>20000</v>
      </c>
      <c r="L158" s="342"/>
      <c r="M158" s="480"/>
      <c r="N158" s="196"/>
      <c r="O158" s="481"/>
      <c r="P158" s="481">
        <f t="shared" si="73"/>
        <v>0</v>
      </c>
      <c r="Q158" s="250"/>
      <c r="R158" s="481">
        <f t="shared" si="65"/>
        <v>0</v>
      </c>
      <c r="S158" s="480"/>
      <c r="T158" s="482">
        <v>0</v>
      </c>
      <c r="U158" s="482"/>
      <c r="V158" s="482">
        <v>0</v>
      </c>
      <c r="W158" s="53">
        <f t="shared" si="74"/>
        <v>0</v>
      </c>
      <c r="X158" s="53">
        <f t="shared" si="75"/>
        <v>0</v>
      </c>
      <c r="Y158" s="484"/>
    </row>
    <row r="159" spans="1:25" ht="19.5" customHeight="1">
      <c r="A159" s="451">
        <f t="shared" si="69"/>
        <v>364</v>
      </c>
      <c r="B159" s="194" t="s">
        <v>605</v>
      </c>
      <c r="C159" s="195">
        <v>184400</v>
      </c>
      <c r="D159" s="241">
        <v>201000</v>
      </c>
      <c r="E159" s="195">
        <v>89100</v>
      </c>
      <c r="F159" s="195">
        <v>67000</v>
      </c>
      <c r="G159" s="195">
        <v>42000</v>
      </c>
      <c r="H159" s="241" t="s">
        <v>606</v>
      </c>
      <c r="I159" s="195"/>
      <c r="J159" s="195">
        <v>67000</v>
      </c>
      <c r="K159" s="342">
        <f t="shared" si="76"/>
        <v>67000</v>
      </c>
      <c r="L159" s="342"/>
      <c r="M159" s="480"/>
      <c r="N159" s="196"/>
      <c r="O159" s="481">
        <v>67000</v>
      </c>
      <c r="P159" s="481">
        <f t="shared" si="73"/>
        <v>67000</v>
      </c>
      <c r="Q159" s="250" t="s">
        <v>607</v>
      </c>
      <c r="R159" s="481">
        <f t="shared" si="65"/>
        <v>67000</v>
      </c>
      <c r="S159" s="480"/>
      <c r="T159" s="482">
        <v>67000</v>
      </c>
      <c r="U159" s="482"/>
      <c r="V159" s="482">
        <v>67000</v>
      </c>
      <c r="W159" s="53">
        <f t="shared" si="74"/>
        <v>67000</v>
      </c>
      <c r="X159" s="53">
        <f t="shared" si="75"/>
        <v>134000</v>
      </c>
      <c r="Y159" s="488" t="s">
        <v>607</v>
      </c>
    </row>
    <row r="160" spans="1:25">
      <c r="A160" s="451" t="s">
        <v>608</v>
      </c>
      <c r="B160" s="194" t="s">
        <v>179</v>
      </c>
      <c r="C160" s="195"/>
      <c r="D160" s="241"/>
      <c r="E160" s="195"/>
      <c r="F160" s="195"/>
      <c r="G160" s="195"/>
      <c r="H160" s="241"/>
      <c r="I160" s="195">
        <v>85000</v>
      </c>
      <c r="J160" s="195"/>
      <c r="K160" s="195">
        <f>I160</f>
        <v>85000</v>
      </c>
      <c r="L160" s="342"/>
      <c r="M160" s="480"/>
      <c r="N160" s="196"/>
      <c r="O160" s="481"/>
      <c r="P160" s="481"/>
      <c r="Q160" s="250"/>
      <c r="R160" s="481">
        <f t="shared" si="65"/>
        <v>0</v>
      </c>
      <c r="S160" s="480"/>
      <c r="T160" s="346"/>
      <c r="U160" s="346"/>
      <c r="V160" s="346"/>
      <c r="W160" s="53">
        <f t="shared" si="74"/>
        <v>0</v>
      </c>
      <c r="X160" s="53">
        <f t="shared" si="75"/>
        <v>0</v>
      </c>
      <c r="Y160" s="346"/>
    </row>
    <row r="161" spans="1:25" ht="88.15" customHeight="1">
      <c r="A161" s="451">
        <f>A159+1</f>
        <v>365</v>
      </c>
      <c r="B161" s="240" t="s">
        <v>181</v>
      </c>
      <c r="C161" s="195">
        <f>'[4]Salary Summary GC Adopted'!Y21</f>
        <v>1393501.8011782919</v>
      </c>
      <c r="D161" s="241">
        <v>1730890.5952067398</v>
      </c>
      <c r="E161" s="240">
        <v>534298</v>
      </c>
      <c r="F161" s="240">
        <f>'[3]Salary Summary 19 for 2019-2021'!L23</f>
        <v>551894.62036215398</v>
      </c>
      <c r="G161" s="240">
        <v>551894.62036215398</v>
      </c>
      <c r="H161" s="194"/>
      <c r="I161" s="240"/>
      <c r="J161" s="240">
        <f>'[3]Salary Summary 20 for 2019-2021'!P23</f>
        <v>598653.19053777412</v>
      </c>
      <c r="K161" s="342">
        <f t="shared" si="76"/>
        <v>598653.19053777412</v>
      </c>
      <c r="L161" s="342"/>
      <c r="M161" s="480"/>
      <c r="N161" s="283"/>
      <c r="O161" s="481">
        <f>'Salary Summary 21 for 2022-2024'!M24+12000</f>
        <v>685843.08171818708</v>
      </c>
      <c r="P161" s="481">
        <f t="shared" si="73"/>
        <v>685843.08171818708</v>
      </c>
      <c r="Q161" s="250" t="s">
        <v>609</v>
      </c>
      <c r="R161" s="481">
        <f t="shared" si="65"/>
        <v>685843.08171818708</v>
      </c>
      <c r="S161" s="480"/>
      <c r="T161" s="458">
        <f>'Salary Summary 21 for 2022-2024'!Q24+12000</f>
        <v>708259.31886180909</v>
      </c>
      <c r="U161" s="346"/>
      <c r="V161" s="458">
        <f>'Salary Summary 21 for 2022-2024'!U24+12000</f>
        <v>730903.35082616226</v>
      </c>
      <c r="W161" s="53">
        <f t="shared" si="74"/>
        <v>730903.35082616226</v>
      </c>
      <c r="X161" s="53">
        <f t="shared" si="75"/>
        <v>1439162.6696879715</v>
      </c>
      <c r="Y161" s="489" t="s">
        <v>609</v>
      </c>
    </row>
    <row r="162" spans="1:25" s="354" customFormat="1">
      <c r="A162" s="252">
        <f t="shared" si="69"/>
        <v>366</v>
      </c>
      <c r="B162" s="269" t="s">
        <v>610</v>
      </c>
      <c r="C162" s="415">
        <f>SUM(C147:C161)</f>
        <v>2934503.8011782919</v>
      </c>
      <c r="D162" s="415">
        <f t="shared" ref="D162:K162" si="77">SUM(D149:D161)</f>
        <v>4414890.2618734073</v>
      </c>
      <c r="E162" s="415">
        <f t="shared" si="77"/>
        <v>1308356</v>
      </c>
      <c r="F162" s="415">
        <f t="shared" si="77"/>
        <v>1976228.2803621541</v>
      </c>
      <c r="G162" s="415">
        <f t="shared" si="77"/>
        <v>1719182.620362154</v>
      </c>
      <c r="H162" s="415">
        <f t="shared" si="77"/>
        <v>0</v>
      </c>
      <c r="I162" s="415">
        <f>SUM(I149:I161)</f>
        <v>170000</v>
      </c>
      <c r="J162" s="415">
        <f t="shared" si="77"/>
        <v>1440986.190537774</v>
      </c>
      <c r="K162" s="415">
        <f t="shared" si="77"/>
        <v>1525986.190537774</v>
      </c>
      <c r="L162" s="415">
        <f>E162+G162+K162</f>
        <v>4553524.8108999282</v>
      </c>
      <c r="M162" s="416"/>
      <c r="N162" s="417">
        <f>SUM(N149:N161)</f>
        <v>85000</v>
      </c>
      <c r="O162" s="417">
        <f t="shared" ref="O162:P162" si="78">SUM(O149:O161)</f>
        <v>1436509.0817181871</v>
      </c>
      <c r="P162" s="417">
        <f t="shared" si="78"/>
        <v>1521509.0817181871</v>
      </c>
      <c r="Q162" s="418"/>
      <c r="R162" s="417">
        <f t="shared" si="65"/>
        <v>1521509.0817181871</v>
      </c>
      <c r="S162" s="416"/>
      <c r="T162" s="490">
        <f>SUM(T147:T161)</f>
        <v>2430925.3188618091</v>
      </c>
      <c r="U162" s="490">
        <f t="shared" ref="U162:Y162" si="79">SUM(U147:U161)</f>
        <v>0</v>
      </c>
      <c r="V162" s="490">
        <f t="shared" si="79"/>
        <v>1456570.3508261624</v>
      </c>
      <c r="W162" s="490">
        <f t="shared" si="79"/>
        <v>1456570.3508261624</v>
      </c>
      <c r="X162" s="490">
        <f t="shared" si="79"/>
        <v>3887495.6696879715</v>
      </c>
      <c r="Y162" s="490">
        <f t="shared" si="79"/>
        <v>0</v>
      </c>
    </row>
    <row r="163" spans="1:25">
      <c r="A163" s="193">
        <f t="shared" si="69"/>
        <v>367</v>
      </c>
      <c r="B163" s="240"/>
      <c r="C163" s="195"/>
      <c r="D163" s="195">
        <v>0</v>
      </c>
      <c r="E163" s="195"/>
      <c r="F163" s="195"/>
      <c r="G163" s="195"/>
      <c r="H163" s="241"/>
      <c r="I163" s="195"/>
      <c r="J163" s="195"/>
      <c r="K163" s="195"/>
      <c r="L163" s="195"/>
      <c r="M163" s="273"/>
      <c r="N163" s="196"/>
      <c r="O163" s="196"/>
      <c r="P163" s="196">
        <f t="shared" si="73"/>
        <v>0</v>
      </c>
      <c r="Q163" s="250"/>
      <c r="R163" s="196">
        <f t="shared" si="65"/>
        <v>0</v>
      </c>
      <c r="S163" s="273"/>
      <c r="T163" s="346"/>
      <c r="U163" s="346"/>
      <c r="V163" s="346"/>
      <c r="W163" s="346"/>
      <c r="X163" s="346"/>
      <c r="Y163" s="346"/>
    </row>
    <row r="164" spans="1:25">
      <c r="A164" s="193">
        <f t="shared" si="69"/>
        <v>368</v>
      </c>
      <c r="B164" s="236" t="s">
        <v>611</v>
      </c>
      <c r="C164" s="195"/>
      <c r="D164" s="195">
        <v>0</v>
      </c>
      <c r="E164" s="195"/>
      <c r="F164" s="195"/>
      <c r="G164" s="195"/>
      <c r="H164" s="241"/>
      <c r="I164" s="195"/>
      <c r="J164" s="195"/>
      <c r="K164" s="195"/>
      <c r="L164" s="195"/>
      <c r="M164" s="273"/>
      <c r="N164" s="196"/>
      <c r="O164" s="196"/>
      <c r="P164" s="196">
        <f t="shared" si="73"/>
        <v>0</v>
      </c>
      <c r="Q164" s="250"/>
      <c r="R164" s="196">
        <f t="shared" si="65"/>
        <v>0</v>
      </c>
      <c r="S164" s="273"/>
      <c r="T164" s="346"/>
      <c r="U164" s="346"/>
      <c r="V164" s="346"/>
      <c r="W164" s="346"/>
      <c r="X164" s="346"/>
      <c r="Y164" s="346"/>
    </row>
    <row r="165" spans="1:25">
      <c r="A165" s="193">
        <f t="shared" si="69"/>
        <v>369</v>
      </c>
      <c r="B165" s="240" t="s">
        <v>612</v>
      </c>
      <c r="C165" s="49">
        <v>104608</v>
      </c>
      <c r="D165" s="49">
        <v>104607</v>
      </c>
      <c r="E165" s="55"/>
      <c r="F165" s="49">
        <v>34869</v>
      </c>
      <c r="G165" s="49">
        <v>34000</v>
      </c>
      <c r="H165" s="50"/>
      <c r="I165" s="49"/>
      <c r="J165" s="49">
        <v>34869</v>
      </c>
      <c r="K165" s="49">
        <f>J165</f>
        <v>34869</v>
      </c>
      <c r="L165" s="49"/>
      <c r="M165" s="46"/>
      <c r="N165" s="44"/>
      <c r="O165" s="44">
        <v>34869</v>
      </c>
      <c r="P165" s="44">
        <f t="shared" si="73"/>
        <v>34869</v>
      </c>
      <c r="Q165" s="265"/>
      <c r="R165" s="44">
        <f t="shared" si="65"/>
        <v>34869</v>
      </c>
      <c r="S165" s="46"/>
      <c r="T165" s="482">
        <v>35000</v>
      </c>
      <c r="U165" s="482"/>
      <c r="V165" s="482">
        <v>36000</v>
      </c>
      <c r="W165" s="53">
        <f t="shared" ref="W165:W169" si="80">U165+V165</f>
        <v>36000</v>
      </c>
      <c r="X165" s="53">
        <f t="shared" ref="X165:X169" si="81">T165+W165</f>
        <v>71000</v>
      </c>
      <c r="Y165" s="346"/>
    </row>
    <row r="166" spans="1:25">
      <c r="A166" s="193">
        <f t="shared" si="69"/>
        <v>370</v>
      </c>
      <c r="B166" s="240" t="s">
        <v>613</v>
      </c>
      <c r="C166" s="49">
        <v>40950</v>
      </c>
      <c r="D166" s="49">
        <v>84000</v>
      </c>
      <c r="E166" s="49"/>
      <c r="F166" s="49">
        <v>28000</v>
      </c>
      <c r="G166" s="49">
        <v>20000</v>
      </c>
      <c r="H166" s="50"/>
      <c r="I166" s="49"/>
      <c r="J166" s="49">
        <v>28000</v>
      </c>
      <c r="K166" s="49">
        <f>J166</f>
        <v>28000</v>
      </c>
      <c r="L166" s="49"/>
      <c r="M166" s="46"/>
      <c r="N166" s="44"/>
      <c r="O166" s="44">
        <v>28000</v>
      </c>
      <c r="P166" s="44">
        <f t="shared" si="73"/>
        <v>28000</v>
      </c>
      <c r="Q166" s="265"/>
      <c r="R166" s="44">
        <f t="shared" si="65"/>
        <v>28000</v>
      </c>
      <c r="S166" s="46"/>
      <c r="T166" s="482">
        <v>29000</v>
      </c>
      <c r="U166" s="482"/>
      <c r="V166" s="482">
        <v>30000</v>
      </c>
      <c r="W166" s="53">
        <f t="shared" si="80"/>
        <v>30000</v>
      </c>
      <c r="X166" s="53">
        <f t="shared" si="81"/>
        <v>59000</v>
      </c>
      <c r="Y166" s="346"/>
    </row>
    <row r="167" spans="1:25" ht="21.95" customHeight="1">
      <c r="A167" s="193">
        <f t="shared" si="69"/>
        <v>371</v>
      </c>
      <c r="B167" s="240" t="s">
        <v>614</v>
      </c>
      <c r="C167" s="49">
        <v>134350</v>
      </c>
      <c r="D167" s="49">
        <v>135000</v>
      </c>
      <c r="E167" s="49">
        <v>99429</v>
      </c>
      <c r="F167" s="49">
        <v>45000</v>
      </c>
      <c r="G167" s="49">
        <v>15000</v>
      </c>
      <c r="H167" s="50" t="s">
        <v>168</v>
      </c>
      <c r="I167" s="49">
        <v>8308</v>
      </c>
      <c r="J167" s="49">
        <v>36692</v>
      </c>
      <c r="K167" s="49">
        <f>J167</f>
        <v>36692</v>
      </c>
      <c r="L167" s="49"/>
      <c r="M167" s="46"/>
      <c r="N167" s="44">
        <v>8308</v>
      </c>
      <c r="O167" s="44">
        <v>36692</v>
      </c>
      <c r="P167" s="44">
        <f t="shared" si="73"/>
        <v>45000</v>
      </c>
      <c r="Q167" s="265"/>
      <c r="R167" s="44">
        <f t="shared" si="65"/>
        <v>45000</v>
      </c>
      <c r="S167" s="46"/>
      <c r="T167" s="482">
        <v>37000</v>
      </c>
      <c r="U167" s="482">
        <v>8500</v>
      </c>
      <c r="V167" s="482">
        <v>37000</v>
      </c>
      <c r="W167" s="53">
        <f t="shared" si="80"/>
        <v>45500</v>
      </c>
      <c r="X167" s="53">
        <f t="shared" si="81"/>
        <v>82500</v>
      </c>
      <c r="Y167" s="346"/>
    </row>
    <row r="168" spans="1:25">
      <c r="A168" s="193" t="s">
        <v>615</v>
      </c>
      <c r="B168" s="240" t="s">
        <v>179</v>
      </c>
      <c r="C168" s="49"/>
      <c r="D168" s="49"/>
      <c r="E168" s="49"/>
      <c r="F168" s="49"/>
      <c r="G168" s="49"/>
      <c r="H168" s="50"/>
      <c r="I168" s="49"/>
      <c r="J168" s="49"/>
      <c r="K168" s="49">
        <v>8308</v>
      </c>
      <c r="L168" s="49"/>
      <c r="M168" s="46"/>
      <c r="N168" s="44"/>
      <c r="O168" s="44"/>
      <c r="P168" s="44">
        <f t="shared" si="73"/>
        <v>0</v>
      </c>
      <c r="Q168" s="265"/>
      <c r="R168" s="44">
        <f t="shared" si="65"/>
        <v>0</v>
      </c>
      <c r="S168" s="46"/>
      <c r="T168" s="482"/>
      <c r="U168" s="482"/>
      <c r="V168" s="482"/>
      <c r="W168" s="53">
        <f t="shared" si="80"/>
        <v>0</v>
      </c>
      <c r="X168" s="53">
        <f t="shared" si="81"/>
        <v>0</v>
      </c>
      <c r="Y168" s="346"/>
    </row>
    <row r="169" spans="1:25" ht="18.399999999999999" customHeight="1">
      <c r="A169" s="193">
        <f>A167+1</f>
        <v>372</v>
      </c>
      <c r="B169" s="240" t="s">
        <v>405</v>
      </c>
      <c r="C169" s="323">
        <f>'[4]Salary Summary GC Adopted'!Y11</f>
        <v>2056086.1062745848</v>
      </c>
      <c r="D169" s="240">
        <v>801316.39196645492</v>
      </c>
      <c r="E169" s="240">
        <v>254377</v>
      </c>
      <c r="F169" s="240">
        <f>'[3]Salary Summary 19 for 2019-2021'!L38</f>
        <v>265822.77897356398</v>
      </c>
      <c r="G169" s="240">
        <f>F169</f>
        <v>265822.77897356398</v>
      </c>
      <c r="H169" s="194"/>
      <c r="I169" s="240"/>
      <c r="J169" s="240">
        <f>'[3]Salary Summary 20 for 2019-2021'!P38</f>
        <v>273221.23073301889</v>
      </c>
      <c r="K169" s="240">
        <f>J169</f>
        <v>273221.23073301889</v>
      </c>
      <c r="L169" s="49">
        <f>E169+G169+K169</f>
        <v>793421.00970658287</v>
      </c>
      <c r="M169" s="46"/>
      <c r="N169" s="283"/>
      <c r="O169" s="44">
        <f>'Salary Summary 21 for 2022-2024'!M39</f>
        <v>281801.93583153584</v>
      </c>
      <c r="P169" s="44">
        <f t="shared" si="73"/>
        <v>281801.93583153584</v>
      </c>
      <c r="Q169" s="250"/>
      <c r="R169" s="44">
        <f t="shared" si="65"/>
        <v>281801.93583153584</v>
      </c>
      <c r="S169" s="46"/>
      <c r="T169" s="53">
        <f>'Salary Summary 21 for 2022-2024'!Q39</f>
        <v>290727.10222905921</v>
      </c>
      <c r="U169" s="53"/>
      <c r="V169" s="53">
        <f>'Salary Summary 21 for 2022-2024'!U39</f>
        <v>299883.67867823498</v>
      </c>
      <c r="W169" s="53">
        <f t="shared" si="80"/>
        <v>299883.67867823498</v>
      </c>
      <c r="X169" s="53">
        <f t="shared" si="81"/>
        <v>590610.78090729425</v>
      </c>
      <c r="Y169" s="346"/>
    </row>
    <row r="170" spans="1:25" s="354" customFormat="1">
      <c r="A170" s="252">
        <f t="shared" si="69"/>
        <v>373</v>
      </c>
      <c r="B170" s="269" t="s">
        <v>616</v>
      </c>
      <c r="C170" s="415">
        <f>SUM(C165:C169)</f>
        <v>2335994.1062745848</v>
      </c>
      <c r="D170" s="415">
        <f t="shared" ref="D170:J170" si="82">SUM(D164:D169)</f>
        <v>1124923.3919664549</v>
      </c>
      <c r="E170" s="415">
        <f t="shared" si="82"/>
        <v>353806</v>
      </c>
      <c r="F170" s="415">
        <f t="shared" si="82"/>
        <v>373691.77897356398</v>
      </c>
      <c r="G170" s="415">
        <f t="shared" si="82"/>
        <v>334822.77897356398</v>
      </c>
      <c r="H170" s="415">
        <f t="shared" si="82"/>
        <v>0</v>
      </c>
      <c r="I170" s="415">
        <f t="shared" si="82"/>
        <v>8308</v>
      </c>
      <c r="J170" s="415">
        <f t="shared" si="82"/>
        <v>372782.23073301889</v>
      </c>
      <c r="K170" s="415">
        <f>SUM(K164:K169)</f>
        <v>381090.23073301889</v>
      </c>
      <c r="L170" s="415">
        <f>E170+G170+K170</f>
        <v>1069719.0097065829</v>
      </c>
      <c r="M170" s="416"/>
      <c r="N170" s="417">
        <f t="shared" ref="N170:P170" si="83">SUM(N164:N169)</f>
        <v>8308</v>
      </c>
      <c r="O170" s="417">
        <f t="shared" si="83"/>
        <v>381362.93583153584</v>
      </c>
      <c r="P170" s="417">
        <f t="shared" si="83"/>
        <v>389670.93583153584</v>
      </c>
      <c r="Q170" s="418"/>
      <c r="R170" s="417">
        <f t="shared" si="65"/>
        <v>389670.93583153584</v>
      </c>
      <c r="S170" s="416"/>
      <c r="T170" s="443">
        <f t="shared" ref="T170:Y170" si="84">SUM(T164:T169)</f>
        <v>391727.10222905921</v>
      </c>
      <c r="U170" s="443">
        <f t="shared" si="84"/>
        <v>8500</v>
      </c>
      <c r="V170" s="443">
        <f t="shared" si="84"/>
        <v>402883.67867823498</v>
      </c>
      <c r="W170" s="443">
        <f t="shared" si="84"/>
        <v>411383.67867823498</v>
      </c>
      <c r="X170" s="443">
        <f t="shared" si="84"/>
        <v>803110.78090729425</v>
      </c>
      <c r="Y170" s="443">
        <f t="shared" si="84"/>
        <v>0</v>
      </c>
    </row>
    <row r="171" spans="1:25">
      <c r="A171" s="193">
        <f t="shared" si="69"/>
        <v>374</v>
      </c>
      <c r="B171" s="240"/>
      <c r="C171" s="195"/>
      <c r="D171" s="195">
        <v>0</v>
      </c>
      <c r="E171" s="195"/>
      <c r="F171" s="195"/>
      <c r="G171" s="195"/>
      <c r="H171" s="241"/>
      <c r="I171" s="195"/>
      <c r="J171" s="195"/>
      <c r="K171" s="195"/>
      <c r="L171" s="195"/>
      <c r="M171" s="273"/>
      <c r="N171" s="196"/>
      <c r="O171" s="196"/>
      <c r="P171" s="196">
        <f t="shared" si="73"/>
        <v>0</v>
      </c>
      <c r="Q171" s="250"/>
      <c r="R171" s="196">
        <f t="shared" si="65"/>
        <v>0</v>
      </c>
      <c r="S171" s="273"/>
      <c r="T171" s="346"/>
      <c r="U171" s="346"/>
      <c r="V171" s="346"/>
      <c r="W171" s="346"/>
      <c r="X171" s="346"/>
      <c r="Y171" s="346"/>
    </row>
    <row r="172" spans="1:25">
      <c r="A172" s="193">
        <f t="shared" si="69"/>
        <v>375</v>
      </c>
      <c r="B172" s="236" t="s">
        <v>617</v>
      </c>
      <c r="C172" s="195"/>
      <c r="D172" s="195">
        <v>0</v>
      </c>
      <c r="E172" s="195"/>
      <c r="F172" s="195"/>
      <c r="G172" s="195"/>
      <c r="H172" s="241"/>
      <c r="I172" s="195"/>
      <c r="J172" s="195"/>
      <c r="K172" s="195"/>
      <c r="L172" s="195"/>
      <c r="M172" s="273"/>
      <c r="N172" s="196"/>
      <c r="O172" s="196"/>
      <c r="P172" s="196">
        <f t="shared" si="73"/>
        <v>0</v>
      </c>
      <c r="Q172" s="250"/>
      <c r="R172" s="196">
        <f t="shared" si="65"/>
        <v>0</v>
      </c>
      <c r="S172" s="273"/>
      <c r="T172" s="346"/>
      <c r="U172" s="346"/>
      <c r="V172" s="346"/>
      <c r="W172" s="346"/>
      <c r="X172" s="346"/>
      <c r="Y172" s="346"/>
    </row>
    <row r="173" spans="1:25">
      <c r="B173" s="236"/>
      <c r="C173" s="195"/>
      <c r="D173" s="195"/>
      <c r="E173" s="195"/>
      <c r="F173" s="195"/>
      <c r="G173" s="195"/>
      <c r="H173" s="241"/>
      <c r="I173" s="195"/>
      <c r="J173" s="195"/>
      <c r="K173" s="195"/>
      <c r="L173" s="195"/>
      <c r="M173" s="273"/>
      <c r="N173" s="196"/>
      <c r="O173" s="196"/>
      <c r="P173" s="196">
        <f t="shared" si="73"/>
        <v>0</v>
      </c>
      <c r="Q173" s="250"/>
      <c r="R173" s="196">
        <f t="shared" si="65"/>
        <v>0</v>
      </c>
      <c r="S173" s="273"/>
      <c r="T173" s="346"/>
      <c r="U173" s="346"/>
      <c r="V173" s="346"/>
      <c r="W173" s="346"/>
      <c r="X173" s="346"/>
      <c r="Y173" s="346"/>
    </row>
    <row r="174" spans="1:25" ht="13.5" customHeight="1">
      <c r="A174" s="711" t="s">
        <v>1112</v>
      </c>
      <c r="B174" s="240" t="s">
        <v>618</v>
      </c>
      <c r="C174" s="195">
        <v>106000</v>
      </c>
      <c r="D174" s="195">
        <v>350000</v>
      </c>
      <c r="E174" s="49">
        <v>116667</v>
      </c>
      <c r="F174" s="49">
        <v>116667</v>
      </c>
      <c r="G174" s="49">
        <v>116667</v>
      </c>
      <c r="H174" s="49" t="s">
        <v>619</v>
      </c>
      <c r="I174" s="49"/>
      <c r="J174" s="49">
        <v>116667</v>
      </c>
      <c r="K174" s="49">
        <f>J174</f>
        <v>116667</v>
      </c>
      <c r="L174" s="55">
        <f>E174+G174+K174</f>
        <v>350001</v>
      </c>
      <c r="M174" s="331"/>
      <c r="N174" s="44"/>
      <c r="O174" s="338">
        <v>300000</v>
      </c>
      <c r="P174" s="338">
        <f t="shared" si="73"/>
        <v>300000</v>
      </c>
      <c r="Q174" s="250"/>
      <c r="R174" s="338">
        <f t="shared" si="65"/>
        <v>300000</v>
      </c>
      <c r="S174" s="331"/>
      <c r="T174" s="344">
        <v>300000</v>
      </c>
      <c r="U174" s="346"/>
      <c r="V174" s="344">
        <v>300000</v>
      </c>
      <c r="W174" s="53">
        <f t="shared" ref="W174:W176" si="85">U174+V174</f>
        <v>300000</v>
      </c>
      <c r="X174" s="53">
        <f t="shared" ref="X174:X176" si="86">T174+W174</f>
        <v>600000</v>
      </c>
      <c r="Y174" s="346"/>
    </row>
    <row r="175" spans="1:25">
      <c r="A175" s="193">
        <f>A172+1</f>
        <v>376</v>
      </c>
      <c r="B175" s="240" t="s">
        <v>620</v>
      </c>
      <c r="C175" s="195">
        <v>1064176</v>
      </c>
      <c r="D175" s="195">
        <v>959176</v>
      </c>
      <c r="E175" s="55">
        <v>319725.33333333331</v>
      </c>
      <c r="F175" s="49">
        <v>319725</v>
      </c>
      <c r="G175" s="49">
        <f>F175</f>
        <v>319725</v>
      </c>
      <c r="H175" s="50"/>
      <c r="I175" s="49"/>
      <c r="J175" s="49">
        <v>319725.33333333331</v>
      </c>
      <c r="K175" s="49">
        <f t="shared" ref="K175:K176" si="87">J175</f>
        <v>319725.33333333331</v>
      </c>
      <c r="L175" s="55">
        <f>E175+G175+K175</f>
        <v>959175.66666666651</v>
      </c>
      <c r="M175" s="331"/>
      <c r="N175" s="44"/>
      <c r="O175" s="338">
        <v>319725.33333333331</v>
      </c>
      <c r="P175" s="338">
        <f t="shared" si="73"/>
        <v>319725.33333333331</v>
      </c>
      <c r="Q175" s="250"/>
      <c r="R175" s="338">
        <f t="shared" si="65"/>
        <v>319725.33333333331</v>
      </c>
      <c r="S175" s="331"/>
      <c r="T175" s="344">
        <v>319725.33333333331</v>
      </c>
      <c r="U175" s="346"/>
      <c r="V175" s="344">
        <v>319725.33333333331</v>
      </c>
      <c r="W175" s="53">
        <f t="shared" si="85"/>
        <v>319725.33333333331</v>
      </c>
      <c r="X175" s="53">
        <f t="shared" si="86"/>
        <v>639450.66666666663</v>
      </c>
      <c r="Y175" s="346"/>
    </row>
    <row r="176" spans="1:25">
      <c r="A176" s="193">
        <f t="shared" si="69"/>
        <v>377</v>
      </c>
      <c r="B176" s="240" t="s">
        <v>621</v>
      </c>
      <c r="C176" s="323">
        <v>513513</v>
      </c>
      <c r="D176" s="195">
        <v>513513</v>
      </c>
      <c r="E176" s="49">
        <v>171171</v>
      </c>
      <c r="F176" s="49">
        <v>171171</v>
      </c>
      <c r="G176" s="49">
        <f>F176</f>
        <v>171171</v>
      </c>
      <c r="H176" s="50"/>
      <c r="I176" s="49"/>
      <c r="J176" s="49">
        <v>171171</v>
      </c>
      <c r="K176" s="49">
        <f t="shared" si="87"/>
        <v>171171</v>
      </c>
      <c r="L176" s="55">
        <f>E176+G176+K176</f>
        <v>513513</v>
      </c>
      <c r="M176" s="331"/>
      <c r="N176" s="44"/>
      <c r="O176" s="338">
        <v>171171</v>
      </c>
      <c r="P176" s="338">
        <f t="shared" si="73"/>
        <v>171171</v>
      </c>
      <c r="Q176" s="250"/>
      <c r="R176" s="338">
        <f t="shared" si="65"/>
        <v>171171</v>
      </c>
      <c r="S176" s="331"/>
      <c r="T176" s="344">
        <v>171171</v>
      </c>
      <c r="U176" s="346"/>
      <c r="V176" s="344">
        <v>171171</v>
      </c>
      <c r="W176" s="53">
        <f t="shared" si="85"/>
        <v>171171</v>
      </c>
      <c r="X176" s="53">
        <f t="shared" si="86"/>
        <v>342342</v>
      </c>
      <c r="Y176" s="346"/>
    </row>
    <row r="177" spans="1:25">
      <c r="A177" s="491">
        <f t="shared" si="69"/>
        <v>378</v>
      </c>
      <c r="B177" s="492" t="s">
        <v>622</v>
      </c>
      <c r="C177" s="64">
        <f>SUM(C175:C176)</f>
        <v>1577689</v>
      </c>
      <c r="D177" s="64">
        <f t="shared" ref="D177:K177" si="88">SUM(D174:D176)</f>
        <v>1822689</v>
      </c>
      <c r="E177" s="64">
        <f t="shared" si="88"/>
        <v>607563.33333333326</v>
      </c>
      <c r="F177" s="64">
        <f t="shared" si="88"/>
        <v>607563</v>
      </c>
      <c r="G177" s="64">
        <f t="shared" si="88"/>
        <v>607563</v>
      </c>
      <c r="H177" s="64">
        <f t="shared" si="88"/>
        <v>0</v>
      </c>
      <c r="I177" s="64">
        <f t="shared" si="88"/>
        <v>0</v>
      </c>
      <c r="J177" s="64">
        <f t="shared" si="88"/>
        <v>607563.33333333326</v>
      </c>
      <c r="K177" s="64">
        <f t="shared" si="88"/>
        <v>607563.33333333326</v>
      </c>
      <c r="L177" s="64">
        <f>E177+G177+K177</f>
        <v>1822689.6666666665</v>
      </c>
      <c r="M177" s="66"/>
      <c r="N177" s="67">
        <f t="shared" ref="N177:P177" si="89">SUM(N174:N176)</f>
        <v>0</v>
      </c>
      <c r="O177" s="67">
        <f t="shared" si="89"/>
        <v>790896.33333333326</v>
      </c>
      <c r="P177" s="67">
        <f t="shared" si="89"/>
        <v>790896.33333333326</v>
      </c>
      <c r="Q177" s="493"/>
      <c r="R177" s="67">
        <f t="shared" si="65"/>
        <v>790896.33333333326</v>
      </c>
      <c r="S177" s="66"/>
      <c r="T177" s="494">
        <f t="shared" ref="T177:Y177" si="90">SUM(T174:T176)</f>
        <v>790896.33333333326</v>
      </c>
      <c r="U177" s="494">
        <f t="shared" si="90"/>
        <v>0</v>
      </c>
      <c r="V177" s="494">
        <f t="shared" si="90"/>
        <v>790896.33333333326</v>
      </c>
      <c r="W177" s="494">
        <f t="shared" si="90"/>
        <v>790896.33333333326</v>
      </c>
      <c r="X177" s="494">
        <f t="shared" si="90"/>
        <v>1581792.6666666665</v>
      </c>
      <c r="Y177" s="494">
        <f t="shared" si="90"/>
        <v>0</v>
      </c>
    </row>
    <row r="178" spans="1:25">
      <c r="A178" s="193">
        <f t="shared" si="69"/>
        <v>379</v>
      </c>
      <c r="B178" s="240"/>
      <c r="C178" s="49"/>
      <c r="D178" s="49"/>
      <c r="E178" s="49"/>
      <c r="F178" s="49"/>
      <c r="G178" s="49"/>
      <c r="H178" s="50"/>
      <c r="I178" s="49"/>
      <c r="J178" s="49"/>
      <c r="K178" s="49"/>
      <c r="L178" s="49"/>
      <c r="M178" s="46"/>
      <c r="N178" s="44"/>
      <c r="O178" s="44"/>
      <c r="P178" s="44">
        <f t="shared" si="73"/>
        <v>0</v>
      </c>
      <c r="Q178" s="265"/>
      <c r="R178" s="44">
        <f t="shared" si="65"/>
        <v>0</v>
      </c>
      <c r="S178" s="46"/>
      <c r="T178" s="53"/>
      <c r="U178" s="346"/>
      <c r="V178" s="53"/>
      <c r="W178" s="346"/>
      <c r="X178" s="346"/>
      <c r="Y178" s="346"/>
    </row>
    <row r="179" spans="1:25">
      <c r="A179" s="193">
        <f t="shared" si="69"/>
        <v>380</v>
      </c>
      <c r="B179" s="240" t="s">
        <v>623</v>
      </c>
      <c r="C179" s="195">
        <v>544000</v>
      </c>
      <c r="D179" s="49">
        <v>694000</v>
      </c>
      <c r="E179" s="55">
        <v>231333</v>
      </c>
      <c r="F179" s="55">
        <v>231333</v>
      </c>
      <c r="G179" s="49">
        <f>F179</f>
        <v>231333</v>
      </c>
      <c r="H179" s="50"/>
      <c r="I179" s="49"/>
      <c r="J179" s="49">
        <v>231333.33333333334</v>
      </c>
      <c r="K179" s="49">
        <f t="shared" ref="K179:K180" si="91">J179</f>
        <v>231333.33333333334</v>
      </c>
      <c r="L179" s="55">
        <f t="shared" ref="L179:L187" si="92">E179+G179+K179</f>
        <v>693999.33333333337</v>
      </c>
      <c r="M179" s="331"/>
      <c r="N179" s="44"/>
      <c r="O179" s="338">
        <v>231333.33333333334</v>
      </c>
      <c r="P179" s="338">
        <f t="shared" si="73"/>
        <v>231333.33333333334</v>
      </c>
      <c r="Q179" s="250"/>
      <c r="R179" s="338">
        <f t="shared" si="65"/>
        <v>231333.33333333334</v>
      </c>
      <c r="S179" s="331"/>
      <c r="T179" s="344">
        <v>231333.33333333334</v>
      </c>
      <c r="U179" s="346"/>
      <c r="V179" s="344">
        <v>231333.33333333334</v>
      </c>
      <c r="W179" s="53">
        <f t="shared" ref="W179:W180" si="93">U179+V179</f>
        <v>231333.33333333334</v>
      </c>
      <c r="X179" s="53">
        <f t="shared" ref="X179:X180" si="94">T179+W179</f>
        <v>462666.66666666669</v>
      </c>
      <c r="Y179" s="346"/>
    </row>
    <row r="180" spans="1:25">
      <c r="A180" s="193">
        <f t="shared" si="69"/>
        <v>381</v>
      </c>
      <c r="B180" s="240" t="s">
        <v>624</v>
      </c>
      <c r="C180" s="195">
        <v>2100000</v>
      </c>
      <c r="D180" s="49">
        <v>2290650</v>
      </c>
      <c r="E180" s="49">
        <v>763550</v>
      </c>
      <c r="F180" s="49">
        <v>763550</v>
      </c>
      <c r="G180" s="49">
        <f>F180</f>
        <v>763550</v>
      </c>
      <c r="H180" s="50"/>
      <c r="I180" s="49"/>
      <c r="J180" s="49">
        <v>763550</v>
      </c>
      <c r="K180" s="49">
        <f t="shared" si="91"/>
        <v>763550</v>
      </c>
      <c r="L180" s="55">
        <f t="shared" si="92"/>
        <v>2290650</v>
      </c>
      <c r="M180" s="331"/>
      <c r="N180" s="44"/>
      <c r="O180" s="338">
        <v>763550</v>
      </c>
      <c r="P180" s="338">
        <f t="shared" si="73"/>
        <v>763550</v>
      </c>
      <c r="Q180" s="250"/>
      <c r="R180" s="338">
        <f t="shared" si="65"/>
        <v>763550</v>
      </c>
      <c r="S180" s="331"/>
      <c r="T180" s="344">
        <v>763550</v>
      </c>
      <c r="U180" s="346"/>
      <c r="V180" s="344">
        <v>763550</v>
      </c>
      <c r="W180" s="53">
        <f t="shared" si="93"/>
        <v>763550</v>
      </c>
      <c r="X180" s="53">
        <f t="shared" si="94"/>
        <v>1527100</v>
      </c>
      <c r="Y180" s="346"/>
    </row>
    <row r="181" spans="1:25">
      <c r="A181" s="491">
        <f t="shared" si="69"/>
        <v>382</v>
      </c>
      <c r="B181" s="492" t="s">
        <v>625</v>
      </c>
      <c r="C181" s="64">
        <f>SUM(C179:C180)</f>
        <v>2644000</v>
      </c>
      <c r="D181" s="64">
        <v>2984650</v>
      </c>
      <c r="E181" s="64">
        <f t="shared" ref="E181:I181" si="95">SUM(E179:E180)</f>
        <v>994883</v>
      </c>
      <c r="F181" s="64">
        <f t="shared" si="95"/>
        <v>994883</v>
      </c>
      <c r="G181" s="64">
        <f t="shared" si="95"/>
        <v>994883</v>
      </c>
      <c r="H181" s="65"/>
      <c r="I181" s="64">
        <f t="shared" si="95"/>
        <v>0</v>
      </c>
      <c r="J181" s="64">
        <f>SUM(J179:J180)</f>
        <v>994883.33333333337</v>
      </c>
      <c r="K181" s="64">
        <f>SUM(K179:K180)</f>
        <v>994883.33333333337</v>
      </c>
      <c r="L181" s="64">
        <f t="shared" si="92"/>
        <v>2984649.3333333335</v>
      </c>
      <c r="M181" s="66"/>
      <c r="N181" s="67">
        <f t="shared" ref="N181:P181" si="96">SUM(N179:N180)</f>
        <v>0</v>
      </c>
      <c r="O181" s="67">
        <f t="shared" si="96"/>
        <v>994883.33333333337</v>
      </c>
      <c r="P181" s="67">
        <f t="shared" si="96"/>
        <v>994883.33333333337</v>
      </c>
      <c r="Q181" s="265"/>
      <c r="R181" s="67">
        <f t="shared" si="65"/>
        <v>994883.33333333337</v>
      </c>
      <c r="S181" s="66"/>
      <c r="T181" s="494">
        <f t="shared" ref="T181:Y181" si="97">SUM(T179:T180)</f>
        <v>994883.33333333337</v>
      </c>
      <c r="U181" s="495">
        <f t="shared" si="97"/>
        <v>0</v>
      </c>
      <c r="V181" s="494">
        <f t="shared" si="97"/>
        <v>994883.33333333337</v>
      </c>
      <c r="W181" s="495">
        <f t="shared" si="97"/>
        <v>994883.33333333337</v>
      </c>
      <c r="X181" s="495">
        <f t="shared" si="97"/>
        <v>1989766.6666666667</v>
      </c>
      <c r="Y181" s="495">
        <f t="shared" si="97"/>
        <v>0</v>
      </c>
    </row>
    <row r="182" spans="1:25">
      <c r="A182" s="193">
        <f t="shared" si="69"/>
        <v>383</v>
      </c>
      <c r="B182" s="240"/>
      <c r="C182" s="49"/>
      <c r="D182" s="49"/>
      <c r="E182" s="49"/>
      <c r="F182" s="49"/>
      <c r="G182" s="49"/>
      <c r="H182" s="50"/>
      <c r="I182" s="49"/>
      <c r="J182" s="49"/>
      <c r="K182" s="49"/>
      <c r="L182" s="55">
        <f t="shared" si="92"/>
        <v>0</v>
      </c>
      <c r="M182" s="331"/>
      <c r="N182" s="44"/>
      <c r="O182" s="338"/>
      <c r="P182" s="338">
        <f t="shared" si="73"/>
        <v>0</v>
      </c>
      <c r="Q182" s="250"/>
      <c r="R182" s="338">
        <f t="shared" si="65"/>
        <v>0</v>
      </c>
      <c r="S182" s="331"/>
      <c r="T182" s="344"/>
      <c r="U182" s="346"/>
      <c r="V182" s="344"/>
      <c r="W182" s="346"/>
      <c r="X182" s="346"/>
      <c r="Y182" s="346"/>
    </row>
    <row r="183" spans="1:25">
      <c r="A183" s="193">
        <f t="shared" si="69"/>
        <v>384</v>
      </c>
      <c r="B183" s="240" t="s">
        <v>626</v>
      </c>
      <c r="C183" s="195">
        <v>1300000</v>
      </c>
      <c r="D183" s="49">
        <v>1300000</v>
      </c>
      <c r="E183" s="49">
        <v>433334</v>
      </c>
      <c r="F183" s="49">
        <v>433334</v>
      </c>
      <c r="G183" s="49">
        <f>F183</f>
        <v>433334</v>
      </c>
      <c r="H183" s="50"/>
      <c r="I183" s="49"/>
      <c r="J183" s="49">
        <v>433333</v>
      </c>
      <c r="K183" s="49">
        <f t="shared" ref="K183:K186" si="98">J183</f>
        <v>433333</v>
      </c>
      <c r="L183" s="55">
        <f t="shared" si="92"/>
        <v>1300001</v>
      </c>
      <c r="M183" s="331"/>
      <c r="N183" s="44"/>
      <c r="O183" s="338">
        <v>433333</v>
      </c>
      <c r="P183" s="338">
        <f t="shared" si="73"/>
        <v>433333</v>
      </c>
      <c r="Q183" s="250"/>
      <c r="R183" s="338">
        <f t="shared" si="65"/>
        <v>433333</v>
      </c>
      <c r="S183" s="331"/>
      <c r="T183" s="344">
        <v>433333</v>
      </c>
      <c r="U183" s="346"/>
      <c r="V183" s="344">
        <v>433333</v>
      </c>
      <c r="W183" s="53">
        <f t="shared" ref="W183:W186" si="99">U183+V183</f>
        <v>433333</v>
      </c>
      <c r="X183" s="53">
        <f t="shared" ref="X183:X186" si="100">T183+W183</f>
        <v>866666</v>
      </c>
      <c r="Y183" s="346"/>
    </row>
    <row r="184" spans="1:25">
      <c r="A184" s="193">
        <f t="shared" si="69"/>
        <v>385</v>
      </c>
      <c r="B184" s="240" t="s">
        <v>627</v>
      </c>
      <c r="C184" s="195">
        <v>1000000</v>
      </c>
      <c r="D184" s="49">
        <v>1000000</v>
      </c>
      <c r="E184" s="49">
        <v>418333</v>
      </c>
      <c r="F184" s="49">
        <v>418333</v>
      </c>
      <c r="G184" s="49">
        <f>F184</f>
        <v>418333</v>
      </c>
      <c r="H184" s="50"/>
      <c r="I184" s="49"/>
      <c r="J184" s="49">
        <v>290833.33333333331</v>
      </c>
      <c r="K184" s="49">
        <f t="shared" si="98"/>
        <v>290833.33333333331</v>
      </c>
      <c r="L184" s="55">
        <f t="shared" si="92"/>
        <v>1127499.3333333333</v>
      </c>
      <c r="M184" s="331"/>
      <c r="N184" s="44"/>
      <c r="O184" s="338">
        <v>290833.33333333331</v>
      </c>
      <c r="P184" s="338">
        <f t="shared" si="73"/>
        <v>290833.33333333331</v>
      </c>
      <c r="Q184" s="250"/>
      <c r="R184" s="338">
        <f t="shared" si="65"/>
        <v>290833.33333333331</v>
      </c>
      <c r="S184" s="331"/>
      <c r="T184" s="344">
        <v>290833.33333333331</v>
      </c>
      <c r="U184" s="346"/>
      <c r="V184" s="344">
        <v>290833.33333333331</v>
      </c>
      <c r="W184" s="53">
        <f t="shared" si="99"/>
        <v>290833.33333333331</v>
      </c>
      <c r="X184" s="53">
        <f t="shared" si="100"/>
        <v>581666.66666666663</v>
      </c>
      <c r="Y184" s="346"/>
    </row>
    <row r="185" spans="1:25">
      <c r="A185" s="193">
        <f t="shared" si="69"/>
        <v>386</v>
      </c>
      <c r="B185" s="240" t="s">
        <v>628</v>
      </c>
      <c r="C185" s="195">
        <v>150000</v>
      </c>
      <c r="D185" s="49">
        <v>150000</v>
      </c>
      <c r="E185" s="49">
        <v>50001</v>
      </c>
      <c r="F185" s="49">
        <v>50001</v>
      </c>
      <c r="G185" s="49">
        <f>F185</f>
        <v>50001</v>
      </c>
      <c r="H185" s="50"/>
      <c r="I185" s="49"/>
      <c r="J185" s="49">
        <v>50000</v>
      </c>
      <c r="K185" s="49">
        <f t="shared" si="98"/>
        <v>50000</v>
      </c>
      <c r="L185" s="55">
        <f t="shared" si="92"/>
        <v>150002</v>
      </c>
      <c r="M185" s="331"/>
      <c r="N185" s="44"/>
      <c r="O185" s="338">
        <v>50000</v>
      </c>
      <c r="P185" s="338">
        <f t="shared" si="73"/>
        <v>50000</v>
      </c>
      <c r="Q185" s="250"/>
      <c r="R185" s="338">
        <f t="shared" si="65"/>
        <v>50000</v>
      </c>
      <c r="S185" s="331"/>
      <c r="T185" s="344">
        <v>50000</v>
      </c>
      <c r="U185" s="346"/>
      <c r="V185" s="344">
        <v>50000</v>
      </c>
      <c r="W185" s="53">
        <f t="shared" si="99"/>
        <v>50000</v>
      </c>
      <c r="X185" s="53">
        <f t="shared" si="100"/>
        <v>100000</v>
      </c>
      <c r="Y185" s="346"/>
    </row>
    <row r="186" spans="1:25">
      <c r="A186" s="193">
        <f t="shared" si="69"/>
        <v>387</v>
      </c>
      <c r="B186" s="240" t="s">
        <v>629</v>
      </c>
      <c r="C186" s="323">
        <v>204750</v>
      </c>
      <c r="D186" s="49">
        <v>204750</v>
      </c>
      <c r="E186" s="49">
        <v>68250</v>
      </c>
      <c r="F186" s="49">
        <v>68250</v>
      </c>
      <c r="G186" s="49">
        <f>F186</f>
        <v>68250</v>
      </c>
      <c r="H186" s="50"/>
      <c r="I186" s="49"/>
      <c r="J186" s="49">
        <v>68250</v>
      </c>
      <c r="K186" s="49">
        <f t="shared" si="98"/>
        <v>68250</v>
      </c>
      <c r="L186" s="55">
        <f t="shared" si="92"/>
        <v>204750</v>
      </c>
      <c r="M186" s="331"/>
      <c r="N186" s="44"/>
      <c r="O186" s="338">
        <v>68250</v>
      </c>
      <c r="P186" s="338">
        <f t="shared" si="73"/>
        <v>68250</v>
      </c>
      <c r="Q186" s="250"/>
      <c r="R186" s="338">
        <f t="shared" si="65"/>
        <v>68250</v>
      </c>
      <c r="S186" s="331"/>
      <c r="T186" s="344">
        <v>68250</v>
      </c>
      <c r="U186" s="346"/>
      <c r="V186" s="344">
        <v>68250</v>
      </c>
      <c r="W186" s="53">
        <f t="shared" si="99"/>
        <v>68250</v>
      </c>
      <c r="X186" s="53">
        <f t="shared" si="100"/>
        <v>136500</v>
      </c>
      <c r="Y186" s="346"/>
    </row>
    <row r="187" spans="1:25">
      <c r="A187" s="491">
        <f t="shared" si="69"/>
        <v>388</v>
      </c>
      <c r="B187" s="492" t="s">
        <v>630</v>
      </c>
      <c r="C187" s="496">
        <f>SUM(C183:C186)</f>
        <v>2654750</v>
      </c>
      <c r="D187" s="496">
        <v>2654750</v>
      </c>
      <c r="E187" s="496">
        <f t="shared" ref="E187:G187" si="101">SUM(E183:E186)</f>
        <v>969918</v>
      </c>
      <c r="F187" s="496">
        <f t="shared" si="101"/>
        <v>969918</v>
      </c>
      <c r="G187" s="496">
        <f t="shared" si="101"/>
        <v>969918</v>
      </c>
      <c r="H187" s="287"/>
      <c r="I187" s="496">
        <f t="shared" ref="I187:K187" si="102">SUM(I183:I186)</f>
        <v>0</v>
      </c>
      <c r="J187" s="496">
        <f t="shared" si="102"/>
        <v>842416.33333333326</v>
      </c>
      <c r="K187" s="496">
        <f t="shared" si="102"/>
        <v>842416.33333333326</v>
      </c>
      <c r="L187" s="496">
        <f t="shared" si="92"/>
        <v>2782252.333333333</v>
      </c>
      <c r="M187" s="497"/>
      <c r="N187" s="498">
        <f t="shared" ref="N187:P187" si="103">SUM(N183:N186)</f>
        <v>0</v>
      </c>
      <c r="O187" s="498">
        <f t="shared" si="103"/>
        <v>842416.33333333326</v>
      </c>
      <c r="P187" s="498">
        <f t="shared" si="103"/>
        <v>842416.33333333326</v>
      </c>
      <c r="Q187" s="499"/>
      <c r="R187" s="498">
        <f t="shared" si="65"/>
        <v>842416.33333333326</v>
      </c>
      <c r="S187" s="497"/>
      <c r="T187" s="500">
        <f t="shared" ref="T187:X187" si="104">SUM(T183:T186)</f>
        <v>842416.33333333326</v>
      </c>
      <c r="U187" s="500">
        <f t="shared" si="104"/>
        <v>0</v>
      </c>
      <c r="V187" s="500">
        <f t="shared" si="104"/>
        <v>842416.33333333326</v>
      </c>
      <c r="W187" s="500">
        <f t="shared" si="104"/>
        <v>842416.33333333326</v>
      </c>
      <c r="X187" s="500">
        <f t="shared" si="104"/>
        <v>1684832.6666666665</v>
      </c>
      <c r="Y187" s="500"/>
    </row>
    <row r="188" spans="1:25">
      <c r="A188" s="193">
        <f t="shared" si="69"/>
        <v>389</v>
      </c>
      <c r="B188" s="240"/>
      <c r="C188" s="195"/>
      <c r="D188" s="195"/>
      <c r="E188" s="195"/>
      <c r="F188" s="195"/>
      <c r="G188" s="195"/>
      <c r="H188" s="241"/>
      <c r="I188" s="195"/>
      <c r="J188" s="195"/>
      <c r="K188" s="195"/>
      <c r="L188" s="195"/>
      <c r="M188" s="273"/>
      <c r="N188" s="196"/>
      <c r="O188" s="196"/>
      <c r="P188" s="196">
        <f t="shared" si="73"/>
        <v>0</v>
      </c>
      <c r="Q188" s="250"/>
      <c r="R188" s="196">
        <f t="shared" si="65"/>
        <v>0</v>
      </c>
      <c r="S188" s="273"/>
      <c r="T188" s="346"/>
      <c r="U188" s="346"/>
      <c r="V188" s="346"/>
      <c r="W188" s="346"/>
      <c r="X188" s="346"/>
      <c r="Y188" s="346"/>
    </row>
    <row r="189" spans="1:25">
      <c r="A189" s="193">
        <f t="shared" si="69"/>
        <v>390</v>
      </c>
      <c r="B189" s="240" t="s">
        <v>631</v>
      </c>
      <c r="C189" s="49">
        <v>0</v>
      </c>
      <c r="D189" s="49"/>
      <c r="E189" s="49"/>
      <c r="F189" s="49"/>
      <c r="G189" s="49"/>
      <c r="H189" s="50"/>
      <c r="I189" s="49"/>
      <c r="J189" s="49"/>
      <c r="K189" s="49"/>
      <c r="L189" s="55">
        <f t="shared" ref="L189:L199" si="105">E189+G189+K189</f>
        <v>0</v>
      </c>
      <c r="M189" s="46"/>
      <c r="N189" s="44"/>
      <c r="O189" s="44"/>
      <c r="P189" s="44">
        <f t="shared" si="73"/>
        <v>0</v>
      </c>
      <c r="Q189" s="265"/>
      <c r="R189" s="44">
        <f t="shared" si="65"/>
        <v>0</v>
      </c>
      <c r="S189" s="46"/>
      <c r="T189" s="346"/>
      <c r="U189" s="346"/>
      <c r="V189" s="482"/>
      <c r="W189" s="53">
        <f t="shared" ref="W189:W198" si="106">U189+V189</f>
        <v>0</v>
      </c>
      <c r="X189" s="53">
        <f t="shared" ref="X189:X198" si="107">T189+W189</f>
        <v>0</v>
      </c>
      <c r="Y189" s="346"/>
    </row>
    <row r="190" spans="1:25" ht="28.5">
      <c r="A190" s="451">
        <f t="shared" si="69"/>
        <v>391</v>
      </c>
      <c r="B190" s="194" t="s">
        <v>632</v>
      </c>
      <c r="C190" s="49">
        <v>550000</v>
      </c>
      <c r="D190" s="49"/>
      <c r="E190" s="55"/>
      <c r="F190" s="49"/>
      <c r="G190" s="49"/>
      <c r="H190" s="50"/>
      <c r="I190" s="49"/>
      <c r="J190" s="49"/>
      <c r="K190" s="49"/>
      <c r="L190" s="55">
        <f t="shared" si="105"/>
        <v>0</v>
      </c>
      <c r="M190" s="46"/>
      <c r="N190" s="44"/>
      <c r="O190" s="44">
        <v>150000</v>
      </c>
      <c r="P190" s="44">
        <f t="shared" si="73"/>
        <v>150000</v>
      </c>
      <c r="Q190" s="265" t="s">
        <v>633</v>
      </c>
      <c r="R190" s="44">
        <f t="shared" si="65"/>
        <v>150000</v>
      </c>
      <c r="S190" s="46"/>
      <c r="T190" s="346"/>
      <c r="U190" s="346"/>
      <c r="V190" s="482"/>
      <c r="W190" s="53">
        <f t="shared" si="106"/>
        <v>0</v>
      </c>
      <c r="X190" s="53">
        <f t="shared" si="107"/>
        <v>0</v>
      </c>
      <c r="Y190" s="346" t="s">
        <v>633</v>
      </c>
    </row>
    <row r="191" spans="1:25">
      <c r="A191" s="193">
        <f t="shared" si="69"/>
        <v>392</v>
      </c>
      <c r="B191" s="240"/>
      <c r="C191" s="195"/>
      <c r="D191" s="195"/>
      <c r="E191" s="195"/>
      <c r="F191" s="195"/>
      <c r="G191" s="195"/>
      <c r="H191" s="241"/>
      <c r="I191" s="195"/>
      <c r="J191" s="195"/>
      <c r="K191" s="195"/>
      <c r="L191" s="55">
        <f t="shared" si="105"/>
        <v>0</v>
      </c>
      <c r="M191" s="273"/>
      <c r="N191" s="196"/>
      <c r="O191" s="196"/>
      <c r="P191" s="196">
        <f t="shared" si="73"/>
        <v>0</v>
      </c>
      <c r="Q191" s="250"/>
      <c r="R191" s="196">
        <f t="shared" si="65"/>
        <v>0</v>
      </c>
      <c r="S191" s="273"/>
      <c r="T191" s="346"/>
      <c r="U191" s="346"/>
      <c r="V191" s="482"/>
      <c r="W191" s="53">
        <f t="shared" si="106"/>
        <v>0</v>
      </c>
      <c r="X191" s="53">
        <f t="shared" si="107"/>
        <v>0</v>
      </c>
      <c r="Y191" s="346"/>
    </row>
    <row r="192" spans="1:25">
      <c r="A192" s="193">
        <f t="shared" si="69"/>
        <v>393</v>
      </c>
      <c r="B192" s="240" t="s">
        <v>634</v>
      </c>
      <c r="C192" s="195">
        <v>2993830</v>
      </c>
      <c r="D192" s="49">
        <v>64000</v>
      </c>
      <c r="E192" s="195">
        <v>2026</v>
      </c>
      <c r="F192" s="195">
        <v>21333.333333333332</v>
      </c>
      <c r="G192" s="195">
        <v>21333.333333333332</v>
      </c>
      <c r="H192" s="241"/>
      <c r="I192" s="195"/>
      <c r="J192" s="195">
        <v>21333.333333333332</v>
      </c>
      <c r="K192" s="49">
        <f t="shared" ref="K192:K198" si="108">J192</f>
        <v>21333.333333333332</v>
      </c>
      <c r="L192" s="55">
        <f t="shared" si="105"/>
        <v>44692.666666666664</v>
      </c>
      <c r="M192" s="331"/>
      <c r="N192" s="196"/>
      <c r="O192" s="338">
        <v>20000</v>
      </c>
      <c r="P192" s="338">
        <f t="shared" si="73"/>
        <v>20000</v>
      </c>
      <c r="Q192" s="250"/>
      <c r="R192" s="338">
        <f t="shared" si="65"/>
        <v>20000</v>
      </c>
      <c r="S192" s="331"/>
      <c r="T192" s="346"/>
      <c r="U192" s="346"/>
      <c r="V192" s="482"/>
      <c r="W192" s="53">
        <f t="shared" si="106"/>
        <v>0</v>
      </c>
      <c r="X192" s="53">
        <f t="shared" si="107"/>
        <v>0</v>
      </c>
      <c r="Y192" s="346"/>
    </row>
    <row r="193" spans="1:25">
      <c r="A193" s="193">
        <f t="shared" si="69"/>
        <v>394</v>
      </c>
      <c r="B193" s="240" t="s">
        <v>635</v>
      </c>
      <c r="C193" s="195"/>
      <c r="D193" s="49">
        <v>382200</v>
      </c>
      <c r="E193" s="195">
        <v>127400</v>
      </c>
      <c r="F193" s="195">
        <v>127400</v>
      </c>
      <c r="G193" s="195">
        <v>127400</v>
      </c>
      <c r="H193" s="241"/>
      <c r="I193" s="195"/>
      <c r="J193" s="195">
        <v>127400</v>
      </c>
      <c r="K193" s="49">
        <f t="shared" si="108"/>
        <v>127400</v>
      </c>
      <c r="L193" s="55">
        <f t="shared" si="105"/>
        <v>382200</v>
      </c>
      <c r="M193" s="331"/>
      <c r="N193" s="196"/>
      <c r="O193" s="338">
        <v>150000</v>
      </c>
      <c r="P193" s="338">
        <f t="shared" si="73"/>
        <v>150000</v>
      </c>
      <c r="Q193" s="250"/>
      <c r="R193" s="338">
        <f t="shared" si="65"/>
        <v>150000</v>
      </c>
      <c r="S193" s="331"/>
      <c r="T193" s="482">
        <v>135000</v>
      </c>
      <c r="U193" s="346"/>
      <c r="V193" s="482">
        <v>127400</v>
      </c>
      <c r="W193" s="53">
        <f t="shared" si="106"/>
        <v>127400</v>
      </c>
      <c r="X193" s="53">
        <f t="shared" si="107"/>
        <v>262400</v>
      </c>
      <c r="Y193" s="346" t="s">
        <v>636</v>
      </c>
    </row>
    <row r="194" spans="1:25">
      <c r="A194" s="193">
        <f t="shared" si="69"/>
        <v>395</v>
      </c>
      <c r="B194" s="240" t="s">
        <v>637</v>
      </c>
      <c r="C194" s="195"/>
      <c r="D194" s="49">
        <v>100000</v>
      </c>
      <c r="E194" s="195">
        <v>33333.333333333336</v>
      </c>
      <c r="F194" s="195">
        <v>33333.333333333336</v>
      </c>
      <c r="G194" s="195">
        <v>33333.333333333336</v>
      </c>
      <c r="H194" s="241"/>
      <c r="I194" s="195"/>
      <c r="J194" s="195">
        <v>33333.333333333336</v>
      </c>
      <c r="K194" s="49">
        <f t="shared" si="108"/>
        <v>33333.333333333336</v>
      </c>
      <c r="L194" s="55">
        <f t="shared" si="105"/>
        <v>100000</v>
      </c>
      <c r="M194" s="331"/>
      <c r="N194" s="196"/>
      <c r="O194" s="338">
        <v>100000</v>
      </c>
      <c r="P194" s="338">
        <f t="shared" si="73"/>
        <v>100000</v>
      </c>
      <c r="Q194" s="250"/>
      <c r="R194" s="338">
        <f t="shared" si="65"/>
        <v>100000</v>
      </c>
      <c r="S194" s="331"/>
      <c r="T194" s="482">
        <v>75000</v>
      </c>
      <c r="U194" s="346"/>
      <c r="V194" s="482">
        <v>50000</v>
      </c>
      <c r="W194" s="501">
        <v>50000</v>
      </c>
      <c r="X194" s="53">
        <f t="shared" si="107"/>
        <v>125000</v>
      </c>
      <c r="Y194" s="488" t="s">
        <v>638</v>
      </c>
    </row>
    <row r="195" spans="1:25" ht="42.75">
      <c r="A195" s="193">
        <f t="shared" si="69"/>
        <v>396</v>
      </c>
      <c r="B195" s="240" t="s">
        <v>639</v>
      </c>
      <c r="C195" s="195"/>
      <c r="D195" s="49">
        <v>1004790</v>
      </c>
      <c r="E195" s="195">
        <v>334930</v>
      </c>
      <c r="F195" s="195">
        <v>334930</v>
      </c>
      <c r="G195" s="195">
        <v>334930</v>
      </c>
      <c r="H195" s="241"/>
      <c r="I195" s="195"/>
      <c r="J195" s="195">
        <v>334930</v>
      </c>
      <c r="K195" s="49">
        <f t="shared" si="108"/>
        <v>334930</v>
      </c>
      <c r="L195" s="55">
        <f t="shared" si="105"/>
        <v>1004790</v>
      </c>
      <c r="M195" s="331"/>
      <c r="N195" s="196"/>
      <c r="O195" s="338">
        <v>170000</v>
      </c>
      <c r="P195" s="338">
        <f t="shared" si="73"/>
        <v>170000</v>
      </c>
      <c r="Q195" s="250"/>
      <c r="R195" s="338">
        <f t="shared" si="65"/>
        <v>170000</v>
      </c>
      <c r="S195" s="331"/>
      <c r="T195" s="482">
        <v>170000</v>
      </c>
      <c r="U195" s="346"/>
      <c r="V195" s="482">
        <v>170000</v>
      </c>
      <c r="W195" s="53">
        <f t="shared" si="106"/>
        <v>170000</v>
      </c>
      <c r="X195" s="53">
        <f t="shared" si="107"/>
        <v>340000</v>
      </c>
      <c r="Y195" s="488" t="s">
        <v>640</v>
      </c>
    </row>
    <row r="196" spans="1:25">
      <c r="A196" s="193">
        <f t="shared" si="69"/>
        <v>397</v>
      </c>
      <c r="B196" s="240" t="s">
        <v>641</v>
      </c>
      <c r="C196" s="195"/>
      <c r="D196" s="49">
        <v>346830</v>
      </c>
      <c r="E196" s="195">
        <v>115610</v>
      </c>
      <c r="F196" s="195">
        <v>115610</v>
      </c>
      <c r="G196" s="195">
        <v>115610</v>
      </c>
      <c r="H196" s="241"/>
      <c r="I196" s="195"/>
      <c r="J196" s="195">
        <v>115610</v>
      </c>
      <c r="K196" s="49">
        <f t="shared" si="108"/>
        <v>115610</v>
      </c>
      <c r="L196" s="55">
        <f t="shared" si="105"/>
        <v>346830</v>
      </c>
      <c r="M196" s="331"/>
      <c r="N196" s="196"/>
      <c r="O196" s="338">
        <v>150000</v>
      </c>
      <c r="P196" s="338">
        <f t="shared" si="73"/>
        <v>150000</v>
      </c>
      <c r="Q196" s="502"/>
      <c r="R196" s="338">
        <f t="shared" si="65"/>
        <v>150000</v>
      </c>
      <c r="S196" s="331"/>
      <c r="T196" s="482">
        <v>150000</v>
      </c>
      <c r="U196" s="346"/>
      <c r="V196" s="482">
        <v>150000</v>
      </c>
      <c r="W196" s="53">
        <f t="shared" si="106"/>
        <v>150000</v>
      </c>
      <c r="X196" s="53">
        <f t="shared" si="107"/>
        <v>300000</v>
      </c>
      <c r="Y196" s="346" t="s">
        <v>642</v>
      </c>
    </row>
    <row r="197" spans="1:25">
      <c r="A197" s="193">
        <f t="shared" si="69"/>
        <v>398</v>
      </c>
      <c r="B197" s="240" t="s">
        <v>643</v>
      </c>
      <c r="C197" s="195"/>
      <c r="D197" s="49">
        <v>580000</v>
      </c>
      <c r="E197" s="195">
        <v>193333.33333333334</v>
      </c>
      <c r="F197" s="195">
        <v>193333.33333333334</v>
      </c>
      <c r="G197" s="195">
        <v>193333.33333333334</v>
      </c>
      <c r="H197" s="241"/>
      <c r="I197" s="195"/>
      <c r="J197" s="195">
        <v>193333.33333333334</v>
      </c>
      <c r="K197" s="49">
        <f t="shared" si="108"/>
        <v>193333.33333333334</v>
      </c>
      <c r="L197" s="55">
        <f t="shared" si="105"/>
        <v>580000</v>
      </c>
      <c r="M197" s="331"/>
      <c r="N197" s="196"/>
      <c r="O197" s="338">
        <v>350000</v>
      </c>
      <c r="P197" s="338">
        <f t="shared" si="73"/>
        <v>350000</v>
      </c>
      <c r="Q197" s="250"/>
      <c r="R197" s="338">
        <f t="shared" si="65"/>
        <v>350000</v>
      </c>
      <c r="S197" s="331"/>
      <c r="T197" s="482">
        <v>250000</v>
      </c>
      <c r="U197" s="346"/>
      <c r="V197" s="482">
        <v>200000</v>
      </c>
      <c r="W197" s="53">
        <f t="shared" si="106"/>
        <v>200000</v>
      </c>
      <c r="X197" s="53">
        <f t="shared" si="107"/>
        <v>450000</v>
      </c>
      <c r="Y197" s="346" t="s">
        <v>644</v>
      </c>
    </row>
    <row r="198" spans="1:25" ht="28.5">
      <c r="A198" s="193">
        <f t="shared" si="69"/>
        <v>399</v>
      </c>
      <c r="B198" s="240" t="s">
        <v>645</v>
      </c>
      <c r="C198" s="195"/>
      <c r="D198" s="49">
        <v>395010</v>
      </c>
      <c r="E198" s="195">
        <v>131670</v>
      </c>
      <c r="F198" s="195">
        <v>131670</v>
      </c>
      <c r="G198" s="195">
        <v>131670</v>
      </c>
      <c r="H198" s="241"/>
      <c r="I198" s="195"/>
      <c r="J198" s="195">
        <v>131670</v>
      </c>
      <c r="K198" s="49">
        <f t="shared" si="108"/>
        <v>131670</v>
      </c>
      <c r="L198" s="55">
        <f t="shared" si="105"/>
        <v>395010</v>
      </c>
      <c r="M198" s="331"/>
      <c r="N198" s="196"/>
      <c r="O198" s="338">
        <v>50000</v>
      </c>
      <c r="P198" s="338">
        <f t="shared" si="73"/>
        <v>50000</v>
      </c>
      <c r="Q198" s="250" t="s">
        <v>646</v>
      </c>
      <c r="R198" s="338">
        <f t="shared" si="65"/>
        <v>50000</v>
      </c>
      <c r="S198" s="331"/>
      <c r="T198" s="482">
        <v>50000</v>
      </c>
      <c r="U198" s="346"/>
      <c r="V198" s="482">
        <v>50000</v>
      </c>
      <c r="W198" s="53">
        <f t="shared" si="106"/>
        <v>50000</v>
      </c>
      <c r="X198" s="53">
        <f t="shared" si="107"/>
        <v>100000</v>
      </c>
      <c r="Y198" s="488" t="s">
        <v>647</v>
      </c>
    </row>
    <row r="199" spans="1:25">
      <c r="A199" s="491">
        <f t="shared" si="69"/>
        <v>400</v>
      </c>
      <c r="B199" s="492" t="s">
        <v>648</v>
      </c>
      <c r="C199" s="503">
        <f>SUM(C189:C198)</f>
        <v>3543830</v>
      </c>
      <c r="D199" s="503">
        <v>2872830</v>
      </c>
      <c r="E199" s="503">
        <f t="shared" ref="E199:I199" si="109">SUM(E189:E198)</f>
        <v>938302.66666666674</v>
      </c>
      <c r="F199" s="503">
        <f t="shared" si="109"/>
        <v>957610.00000000012</v>
      </c>
      <c r="G199" s="503">
        <f>SUM(G189:G198)</f>
        <v>957610.00000000012</v>
      </c>
      <c r="H199" s="504"/>
      <c r="I199" s="503">
        <f t="shared" si="109"/>
        <v>0</v>
      </c>
      <c r="J199" s="503">
        <f>SUM(J189:J198)</f>
        <v>957610.00000000012</v>
      </c>
      <c r="K199" s="503">
        <f>SUM(K189:K198)</f>
        <v>957610.00000000012</v>
      </c>
      <c r="L199" s="503">
        <f t="shared" si="105"/>
        <v>2853522.666666667</v>
      </c>
      <c r="M199" s="505"/>
      <c r="N199" s="506">
        <f t="shared" ref="N199:P199" si="110">SUM(N189:N198)</f>
        <v>0</v>
      </c>
      <c r="O199" s="506">
        <f>SUM(O189:O198)</f>
        <v>1140000</v>
      </c>
      <c r="P199" s="506">
        <f t="shared" si="110"/>
        <v>1140000</v>
      </c>
      <c r="Q199" s="499"/>
      <c r="R199" s="506">
        <f t="shared" si="65"/>
        <v>1140000</v>
      </c>
      <c r="S199" s="505"/>
      <c r="T199" s="507">
        <f t="shared" ref="T199:X199" si="111">SUM(T189:T198)</f>
        <v>830000</v>
      </c>
      <c r="U199" s="507">
        <f t="shared" si="111"/>
        <v>0</v>
      </c>
      <c r="V199" s="507">
        <f t="shared" si="111"/>
        <v>747400</v>
      </c>
      <c r="W199" s="507">
        <f t="shared" si="111"/>
        <v>747400</v>
      </c>
      <c r="X199" s="507">
        <f t="shared" si="111"/>
        <v>1577400</v>
      </c>
      <c r="Y199" s="346"/>
    </row>
    <row r="200" spans="1:25">
      <c r="A200" s="193">
        <f t="shared" si="69"/>
        <v>401</v>
      </c>
      <c r="B200" s="240"/>
      <c r="C200" s="195"/>
      <c r="D200" s="55">
        <v>0</v>
      </c>
      <c r="E200" s="55"/>
      <c r="F200" s="55"/>
      <c r="G200" s="55"/>
      <c r="H200" s="56"/>
      <c r="I200" s="55"/>
      <c r="J200" s="55"/>
      <c r="K200" s="55"/>
      <c r="L200" s="55"/>
      <c r="M200" s="331"/>
      <c r="N200" s="338"/>
      <c r="O200" s="338"/>
      <c r="P200" s="338">
        <f t="shared" si="73"/>
        <v>0</v>
      </c>
      <c r="Q200" s="250"/>
      <c r="R200" s="338">
        <f t="shared" si="65"/>
        <v>0</v>
      </c>
      <c r="S200" s="331"/>
      <c r="T200" s="346"/>
      <c r="U200" s="346"/>
      <c r="V200" s="346"/>
      <c r="W200" s="346"/>
      <c r="X200" s="346"/>
      <c r="Y200" s="346"/>
    </row>
    <row r="201" spans="1:25" ht="32.25" customHeight="1">
      <c r="A201" s="193">
        <f t="shared" si="69"/>
        <v>402</v>
      </c>
      <c r="B201" s="194" t="s">
        <v>649</v>
      </c>
      <c r="C201" s="195">
        <v>1500000</v>
      </c>
      <c r="D201" s="195">
        <v>667000</v>
      </c>
      <c r="E201" s="342">
        <v>605625</v>
      </c>
      <c r="F201" s="195">
        <v>155690</v>
      </c>
      <c r="G201" s="195">
        <f>D201-E201</f>
        <v>61375</v>
      </c>
      <c r="H201" s="241"/>
      <c r="I201" s="195"/>
      <c r="J201" s="195">
        <v>0</v>
      </c>
      <c r="K201" s="49">
        <f>J201</f>
        <v>0</v>
      </c>
      <c r="L201" s="55">
        <f>E201+G201+K201</f>
        <v>667000</v>
      </c>
      <c r="M201" s="331"/>
      <c r="N201" s="196"/>
      <c r="O201" s="338">
        <v>225000</v>
      </c>
      <c r="P201" s="338">
        <f t="shared" si="73"/>
        <v>225000</v>
      </c>
      <c r="Q201" s="250" t="s">
        <v>650</v>
      </c>
      <c r="R201" s="338">
        <f t="shared" si="65"/>
        <v>225000</v>
      </c>
      <c r="S201" s="331"/>
      <c r="T201" s="482">
        <v>220000</v>
      </c>
      <c r="U201" s="482"/>
      <c r="V201" s="482">
        <v>220000</v>
      </c>
      <c r="W201" s="53">
        <f t="shared" ref="W201:W202" si="112">U201+V201</f>
        <v>220000</v>
      </c>
      <c r="X201" s="53">
        <f t="shared" ref="X201:X202" si="113">T201+W201</f>
        <v>440000</v>
      </c>
      <c r="Y201" s="489" t="s">
        <v>650</v>
      </c>
    </row>
    <row r="202" spans="1:25">
      <c r="A202" s="193">
        <f t="shared" si="69"/>
        <v>403</v>
      </c>
      <c r="B202" s="240" t="s">
        <v>651</v>
      </c>
      <c r="C202" s="195">
        <v>978699.48510000005</v>
      </c>
      <c r="D202" s="195">
        <v>1038636</v>
      </c>
      <c r="E202" s="55">
        <v>346212</v>
      </c>
      <c r="F202" s="55">
        <f>'[4]Rent Debt'!P4</f>
        <v>346212</v>
      </c>
      <c r="G202" s="55">
        <v>346212</v>
      </c>
      <c r="H202" s="56"/>
      <c r="I202" s="55"/>
      <c r="J202" s="55">
        <f>I202</f>
        <v>0</v>
      </c>
      <c r="K202" s="55">
        <v>346212</v>
      </c>
      <c r="L202" s="55">
        <f>E202+G202+K202</f>
        <v>1038636</v>
      </c>
      <c r="M202" s="331"/>
      <c r="N202" s="338"/>
      <c r="O202" s="338">
        <v>356598.36</v>
      </c>
      <c r="P202" s="338">
        <f t="shared" si="73"/>
        <v>356598.36</v>
      </c>
      <c r="Q202" s="243"/>
      <c r="R202" s="338">
        <f t="shared" si="65"/>
        <v>356598.36</v>
      </c>
      <c r="S202" s="331"/>
      <c r="T202" s="482">
        <v>356598.36</v>
      </c>
      <c r="U202" s="482"/>
      <c r="V202" s="482">
        <v>356598.36</v>
      </c>
      <c r="W202" s="53">
        <f t="shared" si="112"/>
        <v>356598.36</v>
      </c>
      <c r="X202" s="53">
        <f t="shared" si="113"/>
        <v>713196.72</v>
      </c>
      <c r="Y202" s="346" t="s">
        <v>652</v>
      </c>
    </row>
    <row r="203" spans="1:25" s="354" customFormat="1">
      <c r="A203" s="252">
        <f t="shared" si="69"/>
        <v>404</v>
      </c>
      <c r="B203" s="269" t="s">
        <v>653</v>
      </c>
      <c r="C203" s="508">
        <f>+C199+C187+C181+C177+C201+C202</f>
        <v>12898968.485099999</v>
      </c>
      <c r="D203" s="437">
        <f t="shared" ref="D203:I203" si="114">+D199+D187+D181+D177+D201+D202</f>
        <v>12040555</v>
      </c>
      <c r="E203" s="437">
        <f t="shared" si="114"/>
        <v>4462504</v>
      </c>
      <c r="F203" s="437">
        <f>+F199+F187+F181+F177+F201+F202</f>
        <v>4031876</v>
      </c>
      <c r="G203" s="437">
        <f>+G199+G187+G181+G177+G201+G202</f>
        <v>3937561</v>
      </c>
      <c r="H203" s="509"/>
      <c r="I203" s="437">
        <f t="shared" si="114"/>
        <v>0</v>
      </c>
      <c r="J203" s="437">
        <f>+J199+J187+J181+J177+J201+J202</f>
        <v>3402473</v>
      </c>
      <c r="K203" s="437">
        <f>+K199+K187+K181+K177+K201+K202</f>
        <v>3748685</v>
      </c>
      <c r="L203" s="437">
        <f>E203+G203+K203</f>
        <v>12148750</v>
      </c>
      <c r="M203" s="438"/>
      <c r="N203" s="439">
        <f t="shared" ref="N203:P203" si="115">+N199+N187+N181+N177+N201+N202</f>
        <v>0</v>
      </c>
      <c r="O203" s="439">
        <f t="shared" si="115"/>
        <v>4349794.3600000003</v>
      </c>
      <c r="P203" s="439">
        <f t="shared" si="115"/>
        <v>4349794.3600000003</v>
      </c>
      <c r="Q203" s="418"/>
      <c r="R203" s="439">
        <f t="shared" si="65"/>
        <v>4349794.3600000003</v>
      </c>
      <c r="S203" s="438"/>
      <c r="T203" s="443">
        <f t="shared" ref="T203:X203" si="116">+T199+T187+T181+T177+T201+T202</f>
        <v>4034794.36</v>
      </c>
      <c r="U203" s="443">
        <f t="shared" si="116"/>
        <v>0</v>
      </c>
      <c r="V203" s="443">
        <f t="shared" si="116"/>
        <v>3952194.36</v>
      </c>
      <c r="W203" s="510">
        <f t="shared" si="116"/>
        <v>3952194.36</v>
      </c>
      <c r="X203" s="510">
        <f t="shared" si="116"/>
        <v>7986988.7199999997</v>
      </c>
      <c r="Y203" s="510"/>
    </row>
    <row r="204" spans="1:25">
      <c r="A204" s="193">
        <f t="shared" si="69"/>
        <v>405</v>
      </c>
      <c r="B204" s="240">
        <v>25</v>
      </c>
      <c r="C204" s="195"/>
      <c r="D204" s="195"/>
      <c r="E204" s="195"/>
      <c r="F204" s="195"/>
      <c r="G204" s="195"/>
      <c r="H204" s="241"/>
      <c r="I204" s="195"/>
      <c r="J204" s="195"/>
      <c r="K204" s="195"/>
      <c r="L204" s="195"/>
      <c r="M204" s="273"/>
      <c r="N204" s="196"/>
      <c r="O204" s="196"/>
      <c r="P204" s="196">
        <f t="shared" si="73"/>
        <v>0</v>
      </c>
      <c r="Q204" s="250"/>
      <c r="R204" s="196">
        <f t="shared" ref="R204:R209" si="117">P204</f>
        <v>0</v>
      </c>
      <c r="S204" s="273"/>
      <c r="T204" s="482"/>
      <c r="U204" s="482"/>
      <c r="V204" s="482"/>
      <c r="W204" s="346"/>
      <c r="X204" s="346"/>
      <c r="Y204" s="346"/>
    </row>
    <row r="205" spans="1:25">
      <c r="A205" s="406">
        <f t="shared" si="69"/>
        <v>406</v>
      </c>
      <c r="B205" s="409" t="s">
        <v>153</v>
      </c>
      <c r="C205" s="49"/>
      <c r="D205" s="49"/>
      <c r="E205" s="49"/>
      <c r="F205" s="49"/>
      <c r="G205" s="49"/>
      <c r="H205" s="50"/>
      <c r="I205" s="49"/>
      <c r="J205" s="49"/>
      <c r="K205" s="49"/>
      <c r="L205" s="49"/>
      <c r="M205" s="46"/>
      <c r="N205" s="44"/>
      <c r="O205" s="44"/>
      <c r="P205" s="44">
        <f t="shared" si="73"/>
        <v>0</v>
      </c>
      <c r="Q205" s="265"/>
      <c r="R205" s="44">
        <f t="shared" si="117"/>
        <v>0</v>
      </c>
      <c r="S205" s="46"/>
      <c r="T205" s="346"/>
      <c r="U205" s="346"/>
      <c r="V205" s="346"/>
      <c r="W205" s="346"/>
      <c r="X205" s="346"/>
      <c r="Y205" s="346"/>
    </row>
    <row r="206" spans="1:25">
      <c r="A206" s="451">
        <f t="shared" si="69"/>
        <v>407</v>
      </c>
      <c r="B206" s="407" t="s">
        <v>153</v>
      </c>
      <c r="C206" s="49">
        <v>110400</v>
      </c>
      <c r="D206" s="49">
        <v>0</v>
      </c>
      <c r="E206" s="49"/>
      <c r="F206" s="49"/>
      <c r="G206" s="49"/>
      <c r="H206" s="50"/>
      <c r="I206" s="49"/>
      <c r="J206" s="49"/>
      <c r="K206" s="49"/>
      <c r="L206" s="49"/>
      <c r="M206" s="46"/>
      <c r="N206" s="44"/>
      <c r="O206" s="44"/>
      <c r="P206" s="44">
        <f t="shared" si="73"/>
        <v>0</v>
      </c>
      <c r="Q206" s="265"/>
      <c r="R206" s="44">
        <f t="shared" si="117"/>
        <v>0</v>
      </c>
      <c r="S206" s="46"/>
      <c r="T206" s="346"/>
      <c r="U206" s="346"/>
      <c r="V206" s="346"/>
      <c r="W206" s="53">
        <f t="shared" ref="W206" si="118">U206+V206</f>
        <v>0</v>
      </c>
      <c r="X206" s="53">
        <f t="shared" ref="X206" si="119">T206+W206</f>
        <v>0</v>
      </c>
      <c r="Y206" s="346"/>
    </row>
    <row r="207" spans="1:25" s="354" customFormat="1">
      <c r="A207" s="477">
        <f t="shared" ref="A207:A209" si="120">A206+1</f>
        <v>408</v>
      </c>
      <c r="B207" s="414" t="s">
        <v>153</v>
      </c>
      <c r="C207" s="415">
        <f>C206</f>
        <v>110400</v>
      </c>
      <c r="D207" s="415">
        <v>0</v>
      </c>
      <c r="E207" s="415"/>
      <c r="F207" s="415">
        <f t="shared" ref="F207:I207" si="121">SUM(F206)</f>
        <v>0</v>
      </c>
      <c r="G207" s="415">
        <f t="shared" si="121"/>
        <v>0</v>
      </c>
      <c r="H207" s="254"/>
      <c r="I207" s="415">
        <f t="shared" si="121"/>
        <v>0</v>
      </c>
      <c r="J207" s="415">
        <f>SUM(J206)</f>
        <v>0</v>
      </c>
      <c r="K207" s="415"/>
      <c r="L207" s="415">
        <f>E207+G207+K207</f>
        <v>0</v>
      </c>
      <c r="M207" s="416"/>
      <c r="N207" s="417">
        <f t="shared" ref="N207:O207" si="122">SUM(N206)</f>
        <v>0</v>
      </c>
      <c r="O207" s="417">
        <f t="shared" si="122"/>
        <v>0</v>
      </c>
      <c r="P207" s="417">
        <f t="shared" si="73"/>
        <v>0</v>
      </c>
      <c r="Q207" s="418"/>
      <c r="R207" s="417">
        <f t="shared" si="117"/>
        <v>0</v>
      </c>
      <c r="S207" s="511"/>
      <c r="T207" s="457"/>
      <c r="U207" s="457"/>
      <c r="V207" s="457"/>
      <c r="W207" s="457"/>
      <c r="X207" s="457"/>
      <c r="Y207" s="457"/>
    </row>
    <row r="208" spans="1:25" s="408" customFormat="1">
      <c r="A208" s="193">
        <f t="shared" si="120"/>
        <v>409</v>
      </c>
      <c r="B208" s="240"/>
      <c r="C208" s="195"/>
      <c r="D208" s="195">
        <v>0</v>
      </c>
      <c r="E208" s="195"/>
      <c r="F208" s="195"/>
      <c r="G208" s="195"/>
      <c r="H208" s="241"/>
      <c r="I208" s="195"/>
      <c r="J208" s="195"/>
      <c r="K208" s="195"/>
      <c r="L208" s="195"/>
      <c r="M208" s="273"/>
      <c r="N208" s="196"/>
      <c r="O208" s="196"/>
      <c r="P208" s="196">
        <f t="shared" si="73"/>
        <v>0</v>
      </c>
      <c r="Q208" s="250"/>
      <c r="R208" s="196">
        <f t="shared" si="117"/>
        <v>0</v>
      </c>
      <c r="S208" s="273"/>
      <c r="T208" s="411"/>
      <c r="U208" s="411"/>
      <c r="V208" s="411"/>
      <c r="W208" s="411"/>
      <c r="X208" s="411"/>
      <c r="Y208" s="411"/>
    </row>
    <row r="209" spans="1:25" s="421" customFormat="1">
      <c r="A209" s="252">
        <f t="shared" si="120"/>
        <v>410</v>
      </c>
      <c r="B209" s="269" t="s">
        <v>654</v>
      </c>
      <c r="C209" s="415">
        <f>C207+C144+C162+C170+C203</f>
        <v>28312349.392552875</v>
      </c>
      <c r="D209" s="415">
        <f t="shared" ref="D209" si="123">D207+D144+D162+D170+D203</f>
        <v>28260385.437019452</v>
      </c>
      <c r="E209" s="415">
        <f>E207+E144+E162+E170+E203</f>
        <v>9137496</v>
      </c>
      <c r="F209" s="415">
        <f>F207+F144+F162+F170+F203</f>
        <v>9885619.5216706563</v>
      </c>
      <c r="G209" s="415">
        <f>G207+G144+G162+G170+G203</f>
        <v>9154385.4450039901</v>
      </c>
      <c r="H209" s="254"/>
      <c r="I209" s="415">
        <f t="shared" ref="I209:K209" si="124">I207+I144+I162+I170+I203</f>
        <v>671808</v>
      </c>
      <c r="J209" s="415">
        <f t="shared" si="124"/>
        <v>8712517.4524449483</v>
      </c>
      <c r="K209" s="415">
        <f t="shared" si="124"/>
        <v>9645537.4524449483</v>
      </c>
      <c r="L209" s="415">
        <f>E209+G209+K209</f>
        <v>27937418.897448938</v>
      </c>
      <c r="M209" s="416"/>
      <c r="N209" s="417">
        <f t="shared" ref="N209:P209" si="125">N207+N144+N162+N170+N203</f>
        <v>586808</v>
      </c>
      <c r="O209" s="417">
        <f t="shared" si="125"/>
        <v>9782301.7888432778</v>
      </c>
      <c r="P209" s="417">
        <f t="shared" si="125"/>
        <v>10364109.788843278</v>
      </c>
      <c r="Q209" s="418"/>
      <c r="R209" s="417">
        <f t="shared" si="117"/>
        <v>10364109.788843278</v>
      </c>
      <c r="S209" s="416"/>
      <c r="T209" s="443">
        <f t="shared" ref="T209:Y209" si="126">T207+T144+T162+T170+T203</f>
        <v>10609860.976088574</v>
      </c>
      <c r="U209" s="443">
        <f t="shared" si="126"/>
        <v>508000</v>
      </c>
      <c r="V209" s="443">
        <f t="shared" si="126"/>
        <v>9653760.8479627725</v>
      </c>
      <c r="W209" s="443">
        <f t="shared" si="126"/>
        <v>10161760.847962772</v>
      </c>
      <c r="X209" s="443">
        <f t="shared" si="126"/>
        <v>20771621.824051347</v>
      </c>
      <c r="Y209" s="443">
        <f t="shared" si="126"/>
        <v>0</v>
      </c>
    </row>
    <row r="210" spans="1:25" s="421" customFormat="1">
      <c r="A210" s="235"/>
      <c r="B210" s="236"/>
      <c r="C210" s="512"/>
      <c r="D210" s="512"/>
      <c r="E210" s="512"/>
      <c r="F210" s="512"/>
      <c r="G210" s="512"/>
      <c r="H210" s="246"/>
      <c r="I210" s="512"/>
      <c r="J210" s="512"/>
      <c r="K210" s="512"/>
      <c r="L210" s="512"/>
      <c r="M210" s="511"/>
      <c r="N210" s="512"/>
      <c r="O210" s="512"/>
      <c r="P210" s="512"/>
      <c r="Q210" s="513"/>
      <c r="R210" s="512"/>
      <c r="S210" s="511"/>
    </row>
    <row r="211" spans="1:25" s="421" customFormat="1">
      <c r="A211" s="235"/>
      <c r="B211" s="236"/>
      <c r="C211" s="512"/>
      <c r="D211" s="512"/>
      <c r="E211" s="512"/>
      <c r="F211" s="512"/>
      <c r="G211" s="512"/>
      <c r="H211" s="246"/>
      <c r="I211" s="512"/>
      <c r="J211" s="512"/>
      <c r="K211" s="512"/>
      <c r="L211" s="512"/>
      <c r="M211" s="511"/>
      <c r="N211" s="512"/>
      <c r="O211" s="512"/>
      <c r="P211" s="512"/>
      <c r="Q211" s="513"/>
      <c r="R211" s="512"/>
      <c r="S211" s="511"/>
    </row>
    <row r="212" spans="1:25" s="421" customFormat="1">
      <c r="A212" s="235"/>
      <c r="B212" s="236"/>
      <c r="C212" s="512"/>
      <c r="D212" s="512"/>
      <c r="E212" s="512"/>
      <c r="F212" s="512"/>
      <c r="G212" s="512"/>
      <c r="H212" s="246"/>
      <c r="I212" s="512"/>
      <c r="J212" s="512"/>
      <c r="K212" s="512"/>
      <c r="L212" s="512"/>
      <c r="M212" s="511"/>
      <c r="N212" s="512"/>
      <c r="O212" s="512"/>
      <c r="P212" s="512"/>
      <c r="Q212" s="513"/>
      <c r="R212" s="512"/>
      <c r="S212" s="511"/>
    </row>
    <row r="213" spans="1:25" s="421" customFormat="1">
      <c r="A213" s="235"/>
      <c r="B213" s="236"/>
      <c r="C213" s="512"/>
      <c r="D213" s="512"/>
      <c r="E213" s="512"/>
      <c r="F213" s="512"/>
      <c r="G213" s="512"/>
      <c r="H213" s="246"/>
      <c r="I213" s="512"/>
      <c r="J213" s="512"/>
      <c r="K213" s="512"/>
      <c r="L213" s="512"/>
      <c r="M213" s="511"/>
      <c r="N213" s="512"/>
      <c r="O213" s="512"/>
      <c r="P213" s="512"/>
      <c r="Q213" s="513"/>
      <c r="R213" s="512"/>
      <c r="S213" s="511"/>
    </row>
    <row r="214" spans="1:25" s="408" customFormat="1">
      <c r="A214" s="193"/>
      <c r="B214" s="240"/>
      <c r="C214" s="195"/>
      <c r="D214" s="195"/>
      <c r="E214" s="195"/>
      <c r="F214" s="195"/>
      <c r="G214" s="195"/>
      <c r="H214" s="241"/>
      <c r="I214" s="195"/>
      <c r="J214" s="195"/>
      <c r="K214" s="195"/>
      <c r="L214" s="195"/>
      <c r="M214" s="273"/>
      <c r="N214" s="195"/>
      <c r="O214" s="195"/>
      <c r="P214" s="195"/>
      <c r="Q214" s="425"/>
      <c r="R214" s="195"/>
      <c r="S214" s="273"/>
    </row>
    <row r="215" spans="1:25" s="408" customFormat="1">
      <c r="A215" s="451"/>
      <c r="B215" s="407"/>
      <c r="C215" s="195"/>
      <c r="D215" s="195"/>
      <c r="E215" s="195"/>
      <c r="F215" s="195"/>
      <c r="G215" s="195"/>
      <c r="H215" s="241"/>
      <c r="I215" s="195"/>
      <c r="J215" s="195"/>
      <c r="K215" s="195"/>
      <c r="L215" s="195"/>
      <c r="M215" s="273"/>
      <c r="N215" s="195"/>
      <c r="O215" s="195"/>
      <c r="P215" s="195"/>
      <c r="Q215" s="425"/>
      <c r="R215" s="195"/>
      <c r="S215" s="273"/>
    </row>
    <row r="216" spans="1:25" s="408" customFormat="1">
      <c r="A216" s="451"/>
      <c r="B216" s="407"/>
      <c r="C216" s="195"/>
      <c r="D216" s="195"/>
      <c r="E216" s="195"/>
      <c r="F216" s="195"/>
      <c r="G216" s="195"/>
      <c r="H216" s="241"/>
      <c r="I216" s="195"/>
      <c r="J216" s="195"/>
      <c r="K216" s="195"/>
      <c r="L216" s="195"/>
      <c r="M216" s="273"/>
      <c r="N216" s="195"/>
      <c r="O216" s="195"/>
      <c r="P216" s="195"/>
      <c r="Q216" s="425"/>
      <c r="R216" s="195"/>
      <c r="S216" s="273"/>
    </row>
    <row r="217" spans="1:25" s="408" customFormat="1">
      <c r="A217" s="451"/>
      <c r="B217" s="407"/>
      <c r="C217" s="195"/>
      <c r="D217" s="195"/>
      <c r="E217" s="195"/>
      <c r="F217" s="195"/>
      <c r="G217" s="195"/>
      <c r="H217" s="241"/>
      <c r="I217" s="195"/>
      <c r="J217" s="195"/>
      <c r="K217" s="195"/>
      <c r="L217" s="195"/>
      <c r="M217" s="273"/>
      <c r="N217" s="195"/>
      <c r="O217" s="195"/>
      <c r="P217" s="195"/>
      <c r="Q217" s="425"/>
      <c r="R217" s="195"/>
      <c r="S217" s="273"/>
    </row>
    <row r="218" spans="1:25" s="408" customFormat="1">
      <c r="A218" s="193"/>
      <c r="B218" s="345"/>
      <c r="C218" s="345"/>
      <c r="D218" s="345"/>
      <c r="E218" s="345"/>
      <c r="F218" s="345"/>
      <c r="G218" s="345"/>
      <c r="H218" s="280"/>
      <c r="I218" s="345"/>
      <c r="J218" s="345"/>
      <c r="K218" s="345"/>
      <c r="L218" s="345"/>
      <c r="M218" s="514"/>
      <c r="N218" s="345"/>
      <c r="O218" s="345"/>
      <c r="P218" s="345"/>
      <c r="Q218" s="425"/>
      <c r="R218" s="345"/>
      <c r="S218" s="514"/>
    </row>
    <row r="219" spans="1:25" s="195" customFormat="1">
      <c r="A219" s="193"/>
      <c r="B219" s="345"/>
      <c r="C219" s="345"/>
      <c r="D219" s="345"/>
      <c r="E219" s="345"/>
      <c r="F219" s="345"/>
      <c r="G219" s="345"/>
      <c r="H219" s="280"/>
      <c r="I219" s="345"/>
      <c r="J219" s="345"/>
      <c r="K219" s="345"/>
      <c r="L219" s="345"/>
      <c r="M219" s="514"/>
      <c r="N219" s="345"/>
      <c r="O219" s="345"/>
      <c r="P219" s="345"/>
      <c r="Q219" s="425"/>
      <c r="R219" s="345"/>
      <c r="S219" s="514"/>
    </row>
    <row r="220" spans="1:25" s="408" customFormat="1">
      <c r="A220" s="193"/>
      <c r="B220" s="345"/>
      <c r="C220" s="345"/>
      <c r="D220" s="345"/>
      <c r="E220" s="345"/>
      <c r="F220" s="345"/>
      <c r="G220" s="345"/>
      <c r="H220" s="280"/>
      <c r="I220" s="345"/>
      <c r="J220" s="345"/>
      <c r="K220" s="345"/>
      <c r="L220" s="345"/>
      <c r="M220" s="514"/>
      <c r="N220" s="345"/>
      <c r="O220" s="345"/>
      <c r="P220" s="345"/>
      <c r="Q220" s="425"/>
      <c r="R220" s="345"/>
      <c r="S220" s="514"/>
    </row>
    <row r="221" spans="1:25" s="408" customFormat="1">
      <c r="A221" s="193"/>
      <c r="B221" s="345"/>
      <c r="C221" s="345"/>
      <c r="D221" s="345"/>
      <c r="E221" s="345"/>
      <c r="F221" s="345"/>
      <c r="G221" s="345"/>
      <c r="H221" s="280"/>
      <c r="I221" s="345"/>
      <c r="J221" s="345"/>
      <c r="K221" s="345"/>
      <c r="L221" s="345"/>
      <c r="M221" s="514"/>
      <c r="N221" s="345"/>
      <c r="O221" s="345"/>
      <c r="P221" s="345"/>
      <c r="Q221" s="425"/>
      <c r="R221" s="345"/>
      <c r="S221" s="514"/>
    </row>
    <row r="224" spans="1:25">
      <c r="A224" s="451"/>
      <c r="B224" s="280"/>
      <c r="C224" s="222"/>
      <c r="D224" s="222"/>
      <c r="E224" s="222"/>
      <c r="F224" s="222"/>
      <c r="G224" s="222"/>
      <c r="H224" s="356"/>
      <c r="I224" s="222"/>
      <c r="J224" s="222"/>
      <c r="K224" s="222"/>
      <c r="L224" s="222"/>
      <c r="M224" s="355"/>
      <c r="N224" s="222"/>
      <c r="O224" s="222"/>
      <c r="P224" s="222"/>
      <c r="R224" s="222"/>
      <c r="S224" s="355"/>
    </row>
    <row r="225" spans="1:19">
      <c r="A225" s="451"/>
      <c r="B225" s="280"/>
      <c r="C225" s="222"/>
      <c r="D225" s="222"/>
      <c r="E225" s="222"/>
      <c r="F225" s="222"/>
      <c r="G225" s="222"/>
      <c r="H225" s="356"/>
      <c r="I225" s="222"/>
      <c r="J225" s="222"/>
      <c r="K225" s="222"/>
      <c r="L225" s="222"/>
      <c r="M225" s="355"/>
      <c r="N225" s="222"/>
      <c r="O225" s="222"/>
      <c r="P225" s="222"/>
      <c r="R225" s="222"/>
      <c r="S225" s="355"/>
    </row>
    <row r="226" spans="1:19">
      <c r="A226" s="451"/>
      <c r="B226" s="280"/>
      <c r="C226" s="222"/>
      <c r="D226" s="222"/>
      <c r="E226" s="222"/>
      <c r="F226" s="222"/>
      <c r="G226" s="222"/>
      <c r="H226" s="356"/>
      <c r="I226" s="222"/>
      <c r="J226" s="222"/>
      <c r="K226" s="222"/>
      <c r="L226" s="222"/>
      <c r="M226" s="355"/>
      <c r="N226" s="222"/>
      <c r="O226" s="222"/>
      <c r="P226" s="222"/>
      <c r="R226" s="222"/>
      <c r="S226" s="355"/>
    </row>
    <row r="227" spans="1:19">
      <c r="A227" s="451"/>
      <c r="B227" s="280"/>
      <c r="C227" s="222"/>
      <c r="D227" s="222"/>
      <c r="E227" s="222"/>
      <c r="F227" s="222"/>
      <c r="G227" s="222"/>
      <c r="H227" s="356"/>
      <c r="I227" s="222"/>
      <c r="J227" s="222"/>
      <c r="K227" s="222"/>
      <c r="L227" s="222"/>
      <c r="M227" s="355"/>
      <c r="N227" s="222"/>
      <c r="O227" s="222"/>
      <c r="P227" s="222"/>
      <c r="R227" s="222"/>
      <c r="S227" s="355"/>
    </row>
    <row r="228" spans="1:19">
      <c r="A228" s="451"/>
      <c r="B228" s="280"/>
      <c r="C228" s="222"/>
      <c r="D228" s="222"/>
      <c r="E228" s="222"/>
      <c r="F228" s="222"/>
      <c r="G228" s="222"/>
      <c r="H228" s="356"/>
      <c r="I228" s="222"/>
      <c r="J228" s="222"/>
      <c r="K228" s="222"/>
      <c r="L228" s="222"/>
      <c r="M228" s="355"/>
      <c r="N228" s="222"/>
      <c r="O228" s="222"/>
      <c r="P228" s="222"/>
      <c r="R228" s="222"/>
      <c r="S228" s="355"/>
    </row>
    <row r="229" spans="1:19">
      <c r="A229" s="451"/>
      <c r="B229" s="407"/>
      <c r="C229" s="195"/>
      <c r="D229" s="195"/>
      <c r="E229" s="195"/>
      <c r="F229" s="195"/>
      <c r="G229" s="195"/>
      <c r="H229" s="241"/>
      <c r="I229" s="195"/>
      <c r="J229" s="195"/>
      <c r="K229" s="195"/>
      <c r="L229" s="195"/>
      <c r="M229" s="273"/>
      <c r="N229" s="195"/>
      <c r="O229" s="195"/>
      <c r="P229" s="195"/>
      <c r="R229" s="195"/>
      <c r="S229" s="273"/>
    </row>
    <row r="230" spans="1:19">
      <c r="A230" s="451"/>
      <c r="B230" s="280"/>
      <c r="C230" s="222"/>
      <c r="D230" s="222"/>
      <c r="E230" s="222"/>
      <c r="F230" s="222"/>
      <c r="G230" s="222"/>
      <c r="H230" s="356"/>
      <c r="I230" s="222"/>
      <c r="J230" s="222"/>
      <c r="K230" s="222"/>
      <c r="L230" s="222"/>
      <c r="M230" s="355"/>
      <c r="N230" s="222"/>
      <c r="O230" s="222"/>
      <c r="P230" s="222"/>
      <c r="R230" s="222"/>
      <c r="S230" s="355"/>
    </row>
    <row r="231" spans="1:19">
      <c r="A231" s="451"/>
      <c r="B231" s="407"/>
      <c r="C231" s="222"/>
      <c r="D231" s="222"/>
      <c r="E231" s="222"/>
      <c r="F231" s="222"/>
      <c r="G231" s="222"/>
      <c r="H231" s="356"/>
      <c r="I231" s="222"/>
      <c r="J231" s="222"/>
      <c r="K231" s="222"/>
      <c r="L231" s="222"/>
      <c r="M231" s="355"/>
      <c r="N231" s="222"/>
      <c r="O231" s="222"/>
      <c r="P231" s="222"/>
      <c r="R231" s="222"/>
      <c r="S231" s="355"/>
    </row>
    <row r="232" spans="1:19">
      <c r="A232" s="451"/>
      <c r="B232" s="407"/>
      <c r="C232" s="195"/>
      <c r="D232" s="195"/>
      <c r="E232" s="195"/>
      <c r="F232" s="195"/>
      <c r="G232" s="195"/>
      <c r="H232" s="241"/>
      <c r="I232" s="195"/>
      <c r="J232" s="195"/>
      <c r="K232" s="195"/>
      <c r="L232" s="195"/>
      <c r="M232" s="273"/>
      <c r="N232" s="195"/>
      <c r="O232" s="195"/>
      <c r="P232" s="195"/>
      <c r="R232" s="195"/>
      <c r="S232" s="273"/>
    </row>
    <row r="233" spans="1:19">
      <c r="A233" s="451"/>
      <c r="B233" s="407"/>
      <c r="C233" s="195"/>
      <c r="D233" s="195"/>
      <c r="E233" s="195"/>
      <c r="F233" s="195"/>
      <c r="G233" s="195"/>
      <c r="H233" s="241"/>
      <c r="I233" s="195"/>
      <c r="J233" s="195"/>
      <c r="K233" s="195"/>
      <c r="L233" s="195"/>
      <c r="M233" s="273"/>
      <c r="N233" s="195"/>
      <c r="O233" s="195"/>
      <c r="P233" s="195"/>
      <c r="R233" s="195"/>
      <c r="S233" s="273"/>
    </row>
    <row r="234" spans="1:19">
      <c r="A234" s="451"/>
      <c r="B234" s="407"/>
      <c r="C234" s="342"/>
      <c r="D234" s="342"/>
      <c r="E234" s="342"/>
      <c r="F234" s="342"/>
      <c r="G234" s="342"/>
      <c r="H234" s="479"/>
      <c r="I234" s="342"/>
      <c r="J234" s="342"/>
      <c r="K234" s="342"/>
      <c r="L234" s="342"/>
      <c r="M234" s="480"/>
      <c r="N234" s="342"/>
      <c r="O234" s="342"/>
      <c r="P234" s="342"/>
      <c r="R234" s="342"/>
      <c r="S234" s="480"/>
    </row>
  </sheetData>
  <autoFilter ref="A5:Q209" xr:uid="{00000000-0009-0000-0000-000009000000}"/>
  <printOptions horizontalCentered="1" headings="1" gridLines="1"/>
  <pageMargins left="0.25" right="0.25" top="0.75" bottom="0.25" header="0.25" footer="0.25"/>
  <pageSetup scale="52" fitToHeight="6" orientation="landscape" r:id="rId1"/>
  <headerFooter>
    <oddFooter>Page &amp;P of &amp;N</oddFooter>
  </headerFooter>
  <colBreaks count="1" manualBreakCount="1">
    <brk id="17" max="20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8D9C9-FD3B-48BF-B9A7-8D36FCD14B37}">
  <sheetPr>
    <tabColor rgb="FF00B050"/>
    <pageSetUpPr fitToPage="1"/>
  </sheetPr>
  <dimension ref="A1:FN183"/>
  <sheetViews>
    <sheetView view="pageBreakPreview" zoomScale="75" zoomScaleNormal="75" zoomScaleSheetLayoutView="75" workbookViewId="0">
      <pane xSplit="2" ySplit="5" topLeftCell="R92" activePane="bottomRight" state="frozen"/>
      <selection activeCell="B23" sqref="B23"/>
      <selection pane="topRight" activeCell="B23" sqref="B23"/>
      <selection pane="bottomLeft" activeCell="B23" sqref="B23"/>
      <selection pane="bottomRight" activeCell="B23" sqref="B23"/>
    </sheetView>
  </sheetViews>
  <sheetFormatPr defaultColWidth="9" defaultRowHeight="14.25"/>
  <cols>
    <col min="1" max="1" width="11.375" style="240" customWidth="1"/>
    <col min="2" max="2" width="41" style="240" customWidth="1"/>
    <col min="3" max="3" width="12.625" style="195" hidden="1" customWidth="1"/>
    <col min="4" max="4" width="16.125" style="195" hidden="1" customWidth="1"/>
    <col min="5" max="5" width="14.25" style="195" hidden="1" customWidth="1"/>
    <col min="6" max="6" width="16.125" style="195" hidden="1" customWidth="1"/>
    <col min="7" max="7" width="12.5" style="195" hidden="1" customWidth="1"/>
    <col min="8" max="8" width="40.25" style="195" hidden="1" customWidth="1"/>
    <col min="9" max="9" width="15.25" style="195" hidden="1" customWidth="1"/>
    <col min="10" max="10" width="15.25" style="195" customWidth="1"/>
    <col min="11" max="11" width="13.5" style="195" customWidth="1"/>
    <col min="12" max="12" width="12.25" style="195" hidden="1" customWidth="1"/>
    <col min="13" max="13" width="5.5" style="273" customWidth="1"/>
    <col min="14" max="14" width="10.5" style="195" customWidth="1"/>
    <col min="15" max="15" width="10.625" style="195" customWidth="1"/>
    <col min="16" max="16" width="15.25" style="195" customWidth="1"/>
    <col min="17" max="17" width="51.125" style="425" customWidth="1"/>
    <col min="18" max="18" width="15.25" style="195" customWidth="1"/>
    <col min="19" max="19" width="6.125" style="273" hidden="1" customWidth="1"/>
    <col min="20" max="20" width="20.875" style="345" hidden="1" customWidth="1"/>
    <col min="21" max="21" width="18" style="345" hidden="1" customWidth="1"/>
    <col min="22" max="22" width="20.375" style="345" hidden="1" customWidth="1"/>
    <col min="23" max="23" width="14.5" style="345" hidden="1" customWidth="1"/>
    <col min="24" max="24" width="19.875" style="345" hidden="1" customWidth="1"/>
    <col min="25" max="25" width="51.75" style="280" hidden="1" customWidth="1"/>
    <col min="26" max="16384" width="9" style="345"/>
  </cols>
  <sheetData>
    <row r="1" spans="1:26" s="9" customFormat="1" ht="18">
      <c r="A1" s="1" t="s">
        <v>0</v>
      </c>
      <c r="C1" s="3"/>
      <c r="D1" s="3"/>
      <c r="E1" s="3"/>
      <c r="F1" s="3"/>
      <c r="G1" s="162"/>
      <c r="H1" s="163"/>
      <c r="I1" s="3"/>
      <c r="J1" s="3"/>
      <c r="K1" s="3"/>
      <c r="L1" s="3"/>
      <c r="M1" s="447"/>
      <c r="N1" s="357"/>
      <c r="O1" s="357"/>
      <c r="Q1" s="358" t="s">
        <v>1</v>
      </c>
      <c r="S1" s="359"/>
      <c r="Y1" s="358" t="s">
        <v>1</v>
      </c>
    </row>
    <row r="2" spans="1:26" s="9" customFormat="1" ht="18">
      <c r="A2" s="10" t="s">
        <v>1123</v>
      </c>
      <c r="B2" s="4"/>
      <c r="C2" s="4"/>
      <c r="D2" s="4"/>
      <c r="E2" s="4"/>
      <c r="F2" s="4"/>
      <c r="G2" s="162"/>
      <c r="H2" s="163"/>
      <c r="I2" s="4"/>
      <c r="J2" s="4"/>
      <c r="K2" s="4"/>
      <c r="L2" s="4"/>
      <c r="M2" s="357"/>
      <c r="N2" s="357"/>
      <c r="O2" s="357"/>
      <c r="Q2" s="360" t="s">
        <v>2</v>
      </c>
      <c r="S2" s="359"/>
      <c r="Y2" s="699"/>
    </row>
    <row r="3" spans="1:26" s="354" customFormat="1" ht="15.75">
      <c r="A3" s="236" t="s">
        <v>655</v>
      </c>
      <c r="B3" s="512"/>
      <c r="C3" s="512"/>
      <c r="D3" s="513"/>
      <c r="E3" s="512"/>
      <c r="F3" s="512"/>
      <c r="G3" s="162"/>
      <c r="H3" s="163"/>
      <c r="I3" s="512"/>
      <c r="J3" s="512"/>
      <c r="K3" s="512"/>
      <c r="L3" s="512"/>
      <c r="M3" s="511"/>
      <c r="N3" s="512"/>
      <c r="O3" s="512"/>
      <c r="P3" s="512"/>
      <c r="Q3" s="703"/>
      <c r="R3" s="512"/>
      <c r="S3" s="511"/>
      <c r="Y3" s="703"/>
      <c r="Z3" s="515" t="s">
        <v>4</v>
      </c>
    </row>
    <row r="4" spans="1:26" ht="14.65" thickBot="1">
      <c r="A4" s="222"/>
      <c r="B4" s="222"/>
      <c r="C4" s="223"/>
      <c r="D4" s="223"/>
      <c r="E4" s="223"/>
      <c r="F4" s="223"/>
      <c r="G4" s="223"/>
      <c r="H4" s="223"/>
      <c r="I4" s="223"/>
      <c r="J4" s="223"/>
      <c r="K4" s="223"/>
      <c r="L4" s="223"/>
      <c r="M4" s="224"/>
      <c r="N4" s="223"/>
      <c r="O4" s="223"/>
      <c r="P4" s="223"/>
      <c r="Q4" s="470"/>
      <c r="R4" s="223"/>
      <c r="S4" s="224"/>
    </row>
    <row r="5" spans="1:26" s="160" customFormat="1" ht="65.45" customHeight="1" thickBot="1">
      <c r="A5" s="19" t="s">
        <v>5</v>
      </c>
      <c r="B5" s="20" t="s">
        <v>6</v>
      </c>
      <c r="C5" s="21" t="s">
        <v>7</v>
      </c>
      <c r="D5" s="22" t="s">
        <v>8</v>
      </c>
      <c r="E5" s="23" t="s">
        <v>9</v>
      </c>
      <c r="F5" s="23" t="s">
        <v>10</v>
      </c>
      <c r="G5" s="155" t="s">
        <v>11</v>
      </c>
      <c r="H5" s="23" t="s">
        <v>12</v>
      </c>
      <c r="I5" s="516" t="s">
        <v>135</v>
      </c>
      <c r="J5" s="516" t="s">
        <v>136</v>
      </c>
      <c r="K5" s="516" t="s">
        <v>15</v>
      </c>
      <c r="L5" s="516" t="s">
        <v>16</v>
      </c>
      <c r="M5" s="517"/>
      <c r="N5" s="518" t="s">
        <v>17</v>
      </c>
      <c r="O5" s="518" t="s">
        <v>18</v>
      </c>
      <c r="P5" s="518" t="s">
        <v>19</v>
      </c>
      <c r="Q5" s="156" t="s">
        <v>137</v>
      </c>
      <c r="R5" s="518" t="s">
        <v>19</v>
      </c>
      <c r="S5" s="517"/>
      <c r="T5" s="158" t="s">
        <v>138</v>
      </c>
      <c r="U5" s="158" t="s">
        <v>139</v>
      </c>
      <c r="V5" s="158" t="s">
        <v>23</v>
      </c>
      <c r="W5" s="158" t="s">
        <v>24</v>
      </c>
      <c r="X5" s="158" t="s">
        <v>25</v>
      </c>
      <c r="Y5" s="452" t="s">
        <v>26</v>
      </c>
    </row>
    <row r="6" spans="1:26">
      <c r="A6" s="236">
        <f>'MISSION WITHIN'!A209+1</f>
        <v>411</v>
      </c>
      <c r="B6" s="236" t="s">
        <v>656</v>
      </c>
      <c r="N6" s="196"/>
      <c r="O6" s="196"/>
      <c r="P6" s="196"/>
      <c r="Q6" s="250"/>
      <c r="R6" s="196"/>
      <c r="T6" s="346"/>
      <c r="U6" s="346"/>
      <c r="V6" s="346"/>
      <c r="W6" s="346"/>
      <c r="X6" s="346"/>
      <c r="Y6" s="488"/>
    </row>
    <row r="7" spans="1:26">
      <c r="A7" s="240">
        <f>A6+1</f>
        <v>412</v>
      </c>
      <c r="B7" s="240" t="s">
        <v>657</v>
      </c>
      <c r="C7" s="195">
        <v>1200000</v>
      </c>
      <c r="D7" s="195">
        <v>1150000</v>
      </c>
      <c r="E7" s="49">
        <v>383333</v>
      </c>
      <c r="F7" s="49">
        <v>383333</v>
      </c>
      <c r="G7" s="49">
        <v>383333</v>
      </c>
      <c r="H7" s="519"/>
      <c r="I7" s="49"/>
      <c r="J7" s="49">
        <v>383000</v>
      </c>
      <c r="K7" s="49">
        <f>J7</f>
        <v>383000</v>
      </c>
      <c r="L7" s="49">
        <f t="shared" ref="L7:L12" si="0">E7+G7+K7</f>
        <v>1149666</v>
      </c>
      <c r="M7" s="46"/>
      <c r="N7" s="44"/>
      <c r="O7" s="44">
        <v>383000</v>
      </c>
      <c r="P7" s="44">
        <f t="shared" ref="P7:P70" si="1">N7+O7</f>
        <v>383000</v>
      </c>
      <c r="Q7" s="250"/>
      <c r="R7" s="44">
        <f>P7</f>
        <v>383000</v>
      </c>
      <c r="S7" s="46"/>
      <c r="T7" s="482">
        <v>383000</v>
      </c>
      <c r="U7" s="482"/>
      <c r="V7" s="482">
        <v>383000</v>
      </c>
      <c r="W7" s="53">
        <f t="shared" ref="W7:W12" si="2">U7+V7</f>
        <v>383000</v>
      </c>
      <c r="X7" s="53">
        <f t="shared" ref="X7:X12" si="3">T7+W7</f>
        <v>766000</v>
      </c>
      <c r="Y7" s="520" t="s">
        <v>658</v>
      </c>
    </row>
    <row r="8" spans="1:26">
      <c r="A8" s="240">
        <f t="shared" ref="A8:A71" si="4">A7+1</f>
        <v>413</v>
      </c>
      <c r="B8" s="240" t="s">
        <v>659</v>
      </c>
      <c r="C8" s="195">
        <f>45000-15000</f>
        <v>30000</v>
      </c>
      <c r="D8" s="195">
        <v>45000</v>
      </c>
      <c r="E8" s="49">
        <v>5823</v>
      </c>
      <c r="F8" s="49">
        <v>12500</v>
      </c>
      <c r="G8" s="49">
        <v>500</v>
      </c>
      <c r="H8" s="49" t="s">
        <v>660</v>
      </c>
      <c r="I8" s="49">
        <v>10000</v>
      </c>
      <c r="J8" s="49">
        <v>5000</v>
      </c>
      <c r="K8" s="49">
        <f t="shared" ref="K8:K10" si="5">J8</f>
        <v>5000</v>
      </c>
      <c r="L8" s="49">
        <f t="shared" si="0"/>
        <v>11323</v>
      </c>
      <c r="M8" s="46"/>
      <c r="N8" s="44">
        <v>10000</v>
      </c>
      <c r="O8" s="44">
        <v>0</v>
      </c>
      <c r="P8" s="44">
        <f t="shared" si="1"/>
        <v>10000</v>
      </c>
      <c r="Q8" s="250"/>
      <c r="R8" s="44">
        <f t="shared" ref="R8:R71" si="6">P8</f>
        <v>10000</v>
      </c>
      <c r="S8" s="46"/>
      <c r="T8" s="482">
        <v>15000</v>
      </c>
      <c r="U8" s="482">
        <v>10000</v>
      </c>
      <c r="V8" s="482">
        <v>5000</v>
      </c>
      <c r="W8" s="53">
        <f t="shared" si="2"/>
        <v>15000</v>
      </c>
      <c r="X8" s="53">
        <f t="shared" si="3"/>
        <v>30000</v>
      </c>
      <c r="Y8" s="520"/>
    </row>
    <row r="9" spans="1:26" ht="28.5">
      <c r="A9" s="240">
        <f t="shared" si="4"/>
        <v>414</v>
      </c>
      <c r="B9" s="240" t="s">
        <v>661</v>
      </c>
      <c r="C9" s="195">
        <v>289050</v>
      </c>
      <c r="D9" s="195">
        <v>420000</v>
      </c>
      <c r="E9" s="49">
        <f>32677+56732+33052+28645+558+97</f>
        <v>151761</v>
      </c>
      <c r="F9" s="49">
        <v>128000</v>
      </c>
      <c r="G9" s="49">
        <v>30000</v>
      </c>
      <c r="H9" s="50" t="s">
        <v>662</v>
      </c>
      <c r="I9" s="49">
        <v>15000</v>
      </c>
      <c r="J9" s="49">
        <v>125000</v>
      </c>
      <c r="K9" s="49">
        <f t="shared" si="5"/>
        <v>125000</v>
      </c>
      <c r="L9" s="49">
        <f t="shared" si="0"/>
        <v>306761</v>
      </c>
      <c r="M9" s="46"/>
      <c r="N9" s="44">
        <v>15000</v>
      </c>
      <c r="O9" s="44">
        <v>110000</v>
      </c>
      <c r="P9" s="44">
        <f t="shared" si="1"/>
        <v>125000</v>
      </c>
      <c r="Q9" s="250"/>
      <c r="R9" s="44">
        <f t="shared" si="6"/>
        <v>125000</v>
      </c>
      <c r="S9" s="46"/>
      <c r="T9" s="482">
        <v>140000</v>
      </c>
      <c r="U9" s="482">
        <v>20000</v>
      </c>
      <c r="V9" s="482">
        <v>120000</v>
      </c>
      <c r="W9" s="53">
        <f t="shared" si="2"/>
        <v>140000</v>
      </c>
      <c r="X9" s="53">
        <f t="shared" si="3"/>
        <v>280000</v>
      </c>
      <c r="Y9" s="520" t="s">
        <v>663</v>
      </c>
    </row>
    <row r="10" spans="1:26" ht="36.75" customHeight="1">
      <c r="A10" s="240">
        <f t="shared" si="4"/>
        <v>415</v>
      </c>
      <c r="B10" s="240" t="s">
        <v>664</v>
      </c>
      <c r="D10" s="195">
        <v>93000</v>
      </c>
      <c r="E10" s="49">
        <v>12951</v>
      </c>
      <c r="F10" s="49">
        <v>43000</v>
      </c>
      <c r="G10" s="49">
        <v>27000</v>
      </c>
      <c r="H10" s="521" t="s">
        <v>665</v>
      </c>
      <c r="I10" s="49">
        <v>8000</v>
      </c>
      <c r="J10" s="49">
        <v>35000</v>
      </c>
      <c r="K10" s="49">
        <f t="shared" si="5"/>
        <v>35000</v>
      </c>
      <c r="L10" s="49">
        <f t="shared" si="0"/>
        <v>74951</v>
      </c>
      <c r="M10" s="46"/>
      <c r="N10" s="44">
        <v>8000</v>
      </c>
      <c r="O10" s="44">
        <v>27000</v>
      </c>
      <c r="P10" s="44">
        <f t="shared" si="1"/>
        <v>35000</v>
      </c>
      <c r="Q10" s="250" t="s">
        <v>666</v>
      </c>
      <c r="R10" s="44">
        <f t="shared" si="6"/>
        <v>35000</v>
      </c>
      <c r="S10" s="46"/>
      <c r="T10" s="482">
        <v>35000</v>
      </c>
      <c r="U10" s="482">
        <v>10000</v>
      </c>
      <c r="V10" s="482">
        <v>25000</v>
      </c>
      <c r="W10" s="53">
        <f t="shared" si="2"/>
        <v>35000</v>
      </c>
      <c r="X10" s="53">
        <f t="shared" si="3"/>
        <v>70000</v>
      </c>
      <c r="Y10" s="520" t="s">
        <v>667</v>
      </c>
    </row>
    <row r="11" spans="1:26">
      <c r="A11" s="522" t="s">
        <v>668</v>
      </c>
      <c r="B11" s="240" t="s">
        <v>179</v>
      </c>
      <c r="E11" s="49"/>
      <c r="F11" s="49"/>
      <c r="G11" s="49"/>
      <c r="H11" s="521"/>
      <c r="I11" s="49"/>
      <c r="J11" s="49"/>
      <c r="K11" s="49">
        <f>I13</f>
        <v>33000</v>
      </c>
      <c r="L11" s="49">
        <f t="shared" si="0"/>
        <v>33000</v>
      </c>
      <c r="M11" s="46"/>
      <c r="N11" s="44"/>
      <c r="O11" s="44"/>
      <c r="P11" s="44">
        <f t="shared" si="1"/>
        <v>0</v>
      </c>
      <c r="Q11" s="250"/>
      <c r="R11" s="44">
        <f t="shared" si="6"/>
        <v>0</v>
      </c>
      <c r="S11" s="46"/>
      <c r="T11" s="482"/>
      <c r="U11" s="482"/>
      <c r="V11" s="482"/>
      <c r="W11" s="53">
        <f t="shared" si="2"/>
        <v>0</v>
      </c>
      <c r="X11" s="53">
        <f t="shared" si="3"/>
        <v>0</v>
      </c>
      <c r="Y11" s="520"/>
    </row>
    <row r="12" spans="1:26" ht="31.35" customHeight="1">
      <c r="A12" s="240">
        <f>A10+1</f>
        <v>416</v>
      </c>
      <c r="B12" s="240" t="s">
        <v>405</v>
      </c>
      <c r="C12" s="323">
        <f>'[4]Salary Summary GC Adopted'!Y7</f>
        <v>1640471.5942966545</v>
      </c>
      <c r="D12" s="195">
        <v>2279077.3319096714</v>
      </c>
      <c r="E12" s="49">
        <f>578560</f>
        <v>578560</v>
      </c>
      <c r="F12" s="49">
        <f>'[3]Salary Summary 19 for 2019-2021'!L8</f>
        <v>768124.60437744251</v>
      </c>
      <c r="G12" s="49">
        <f>F12</f>
        <v>768124.60437744251</v>
      </c>
      <c r="H12" s="50" t="s">
        <v>669</v>
      </c>
      <c r="I12" s="49"/>
      <c r="J12" s="49">
        <f>'[3]Salary Summary 20 for 2019-2021'!P8</f>
        <v>791146.97266829549</v>
      </c>
      <c r="K12" s="49">
        <f>J12</f>
        <v>791146.97266829549</v>
      </c>
      <c r="L12" s="49">
        <f t="shared" si="0"/>
        <v>2137831.5770457378</v>
      </c>
      <c r="M12" s="46"/>
      <c r="N12" s="44"/>
      <c r="O12" s="44">
        <v>832890.53165745747</v>
      </c>
      <c r="P12" s="44">
        <f t="shared" si="1"/>
        <v>832890.53165745747</v>
      </c>
      <c r="Q12" s="243" t="s">
        <v>670</v>
      </c>
      <c r="R12" s="44">
        <f t="shared" si="6"/>
        <v>832890.53165745747</v>
      </c>
      <c r="S12" s="46"/>
      <c r="T12" s="53">
        <f>'Salary Summary 21 for 2022-2024'!Q9</f>
        <v>727075.59886996937</v>
      </c>
      <c r="U12" s="346"/>
      <c r="V12" s="53">
        <f>'Salary Summary 21 for 2022-2024'!U9</f>
        <v>750628.67394694313</v>
      </c>
      <c r="W12" s="53">
        <f t="shared" si="2"/>
        <v>750628.67394694313</v>
      </c>
      <c r="X12" s="53">
        <f t="shared" si="3"/>
        <v>1477704.2728169125</v>
      </c>
      <c r="Y12" s="488" t="s">
        <v>670</v>
      </c>
    </row>
    <row r="13" spans="1:26" s="354" customFormat="1">
      <c r="A13" s="269">
        <f t="shared" si="4"/>
        <v>417</v>
      </c>
      <c r="B13" s="269" t="s">
        <v>671</v>
      </c>
      <c r="C13" s="114">
        <f>SUM(C7:C12)</f>
        <v>3159521.5942966547</v>
      </c>
      <c r="D13" s="114">
        <f>SUM(D7:D12)</f>
        <v>3987077.3319096714</v>
      </c>
      <c r="E13" s="114">
        <f t="shared" ref="E13:L13" si="7">SUM(E7:E12)</f>
        <v>1132428</v>
      </c>
      <c r="F13" s="114">
        <f t="shared" si="7"/>
        <v>1334957.6043774425</v>
      </c>
      <c r="G13" s="415">
        <f>SUM(G7:G12)</f>
        <v>1208957.6043774425</v>
      </c>
      <c r="H13" s="114"/>
      <c r="I13" s="114">
        <f t="shared" si="7"/>
        <v>33000</v>
      </c>
      <c r="J13" s="114">
        <f t="shared" si="7"/>
        <v>1339146.9726682955</v>
      </c>
      <c r="K13" s="114">
        <f t="shared" si="7"/>
        <v>1372146.9726682955</v>
      </c>
      <c r="L13" s="114">
        <f t="shared" si="7"/>
        <v>3713532.5770457378</v>
      </c>
      <c r="M13" s="116"/>
      <c r="N13" s="117">
        <f t="shared" ref="N13:P13" si="8">SUM(N7:N12)</f>
        <v>33000</v>
      </c>
      <c r="O13" s="117">
        <f t="shared" si="8"/>
        <v>1352890.5316574574</v>
      </c>
      <c r="P13" s="117">
        <f t="shared" si="8"/>
        <v>1385890.5316574574</v>
      </c>
      <c r="Q13" s="422"/>
      <c r="R13" s="117">
        <f t="shared" si="6"/>
        <v>1385890.5316574574</v>
      </c>
      <c r="S13" s="116"/>
      <c r="T13" s="119">
        <f t="shared" ref="T13:Y13" si="9">SUM(T7:T12)</f>
        <v>1300075.5988699694</v>
      </c>
      <c r="U13" s="119">
        <f t="shared" si="9"/>
        <v>40000</v>
      </c>
      <c r="V13" s="119">
        <f t="shared" si="9"/>
        <v>1283628.6739469431</v>
      </c>
      <c r="W13" s="119">
        <f t="shared" si="9"/>
        <v>1323628.6739469431</v>
      </c>
      <c r="X13" s="119">
        <f t="shared" si="9"/>
        <v>2623704.2728169123</v>
      </c>
      <c r="Y13" s="272">
        <f t="shared" si="9"/>
        <v>0</v>
      </c>
    </row>
    <row r="14" spans="1:26">
      <c r="A14" s="240">
        <f t="shared" si="4"/>
        <v>418</v>
      </c>
      <c r="D14" s="195">
        <v>0</v>
      </c>
      <c r="N14" s="196"/>
      <c r="O14" s="196"/>
      <c r="P14" s="196">
        <f t="shared" si="1"/>
        <v>0</v>
      </c>
      <c r="Q14" s="250"/>
      <c r="R14" s="196">
        <f t="shared" si="6"/>
        <v>0</v>
      </c>
      <c r="T14" s="346"/>
      <c r="U14" s="346"/>
      <c r="V14" s="346"/>
      <c r="W14" s="346"/>
      <c r="X14" s="346"/>
      <c r="Y14" s="488"/>
    </row>
    <row r="15" spans="1:26">
      <c r="A15" s="236">
        <f t="shared" si="4"/>
        <v>419</v>
      </c>
      <c r="B15" s="236" t="s">
        <v>672</v>
      </c>
      <c r="D15" s="195">
        <v>0</v>
      </c>
      <c r="H15" s="195" t="s">
        <v>673</v>
      </c>
      <c r="N15" s="196"/>
      <c r="O15" s="196"/>
      <c r="P15" s="196">
        <f t="shared" si="1"/>
        <v>0</v>
      </c>
      <c r="Q15" s="250" t="s">
        <v>674</v>
      </c>
      <c r="R15" s="196">
        <f t="shared" si="6"/>
        <v>0</v>
      </c>
      <c r="T15" s="346"/>
      <c r="U15" s="346"/>
      <c r="V15" s="346"/>
      <c r="W15" s="346"/>
      <c r="X15" s="346"/>
      <c r="Y15" s="488"/>
    </row>
    <row r="16" spans="1:26">
      <c r="A16" s="240">
        <f t="shared" si="4"/>
        <v>420</v>
      </c>
      <c r="B16" s="240" t="s">
        <v>675</v>
      </c>
      <c r="C16" s="195">
        <v>12000</v>
      </c>
      <c r="D16" s="195">
        <v>12000</v>
      </c>
      <c r="E16" s="49">
        <v>4000</v>
      </c>
      <c r="F16" s="49">
        <v>4000</v>
      </c>
      <c r="G16" s="49">
        <v>4000</v>
      </c>
      <c r="H16" s="49"/>
      <c r="I16" s="49"/>
      <c r="J16" s="49">
        <v>4000</v>
      </c>
      <c r="K16" s="49">
        <f t="shared" ref="K16:K29" si="10">J16</f>
        <v>4000</v>
      </c>
      <c r="L16" s="49">
        <f t="shared" ref="L16:L40" si="11">E16+G16+K16</f>
        <v>12000</v>
      </c>
      <c r="M16" s="46"/>
      <c r="N16" s="44"/>
      <c r="O16" s="44">
        <v>4000</v>
      </c>
      <c r="P16" s="44">
        <f t="shared" si="1"/>
        <v>4000</v>
      </c>
      <c r="Q16" s="250" t="s">
        <v>676</v>
      </c>
      <c r="R16" s="44">
        <f t="shared" si="6"/>
        <v>4000</v>
      </c>
      <c r="S16" s="46"/>
      <c r="T16" s="482">
        <v>4000</v>
      </c>
      <c r="U16" s="482"/>
      <c r="V16" s="482">
        <v>4000</v>
      </c>
      <c r="W16" s="53">
        <f t="shared" ref="W16:W29" si="12">U16+V16</f>
        <v>4000</v>
      </c>
      <c r="X16" s="53">
        <f t="shared" ref="X16:X29" si="13">T16+W16</f>
        <v>8000</v>
      </c>
      <c r="Y16" s="520"/>
    </row>
    <row r="17" spans="1:25">
      <c r="A17" s="240">
        <f t="shared" si="4"/>
        <v>421</v>
      </c>
      <c r="B17" s="240" t="s">
        <v>677</v>
      </c>
      <c r="C17" s="195">
        <v>9000</v>
      </c>
      <c r="D17" s="195">
        <v>9000</v>
      </c>
      <c r="E17" s="49">
        <v>0</v>
      </c>
      <c r="F17" s="49">
        <v>3000</v>
      </c>
      <c r="G17" s="49">
        <v>3000</v>
      </c>
      <c r="H17" s="49"/>
      <c r="I17" s="49"/>
      <c r="J17" s="49">
        <v>3000</v>
      </c>
      <c r="K17" s="49">
        <f t="shared" si="10"/>
        <v>3000</v>
      </c>
      <c r="L17" s="49">
        <f t="shared" si="11"/>
        <v>6000</v>
      </c>
      <c r="M17" s="46"/>
      <c r="N17" s="44"/>
      <c r="O17" s="44">
        <v>3000</v>
      </c>
      <c r="P17" s="44">
        <f t="shared" si="1"/>
        <v>3000</v>
      </c>
      <c r="Q17" s="250"/>
      <c r="R17" s="44">
        <f t="shared" si="6"/>
        <v>3000</v>
      </c>
      <c r="S17" s="46"/>
      <c r="T17" s="482">
        <v>3000</v>
      </c>
      <c r="U17" s="482"/>
      <c r="V17" s="482">
        <v>3000</v>
      </c>
      <c r="W17" s="53">
        <f t="shared" si="12"/>
        <v>3000</v>
      </c>
      <c r="X17" s="53">
        <f t="shared" si="13"/>
        <v>6000</v>
      </c>
      <c r="Y17" s="520"/>
    </row>
    <row r="18" spans="1:25">
      <c r="A18" s="240">
        <f t="shared" si="4"/>
        <v>422</v>
      </c>
      <c r="B18" s="240" t="s">
        <v>678</v>
      </c>
      <c r="C18" s="195">
        <v>21000</v>
      </c>
      <c r="D18" s="195">
        <v>21000</v>
      </c>
      <c r="E18" s="49">
        <v>7000</v>
      </c>
      <c r="F18" s="49">
        <v>7000</v>
      </c>
      <c r="G18" s="49">
        <v>7000</v>
      </c>
      <c r="H18" s="49"/>
      <c r="I18" s="49"/>
      <c r="J18" s="49">
        <v>7000</v>
      </c>
      <c r="K18" s="49">
        <f t="shared" si="10"/>
        <v>7000</v>
      </c>
      <c r="L18" s="49">
        <f t="shared" si="11"/>
        <v>21000</v>
      </c>
      <c r="M18" s="46"/>
      <c r="N18" s="44"/>
      <c r="O18" s="44">
        <v>7000</v>
      </c>
      <c r="P18" s="44">
        <f t="shared" si="1"/>
        <v>7000</v>
      </c>
      <c r="Q18" s="250"/>
      <c r="R18" s="44">
        <f t="shared" si="6"/>
        <v>7000</v>
      </c>
      <c r="S18" s="46"/>
      <c r="T18" s="482">
        <v>7000</v>
      </c>
      <c r="U18" s="482"/>
      <c r="V18" s="482">
        <v>7000</v>
      </c>
      <c r="W18" s="53">
        <f t="shared" si="12"/>
        <v>7000</v>
      </c>
      <c r="X18" s="53">
        <f t="shared" si="13"/>
        <v>14000</v>
      </c>
      <c r="Y18" s="520"/>
    </row>
    <row r="19" spans="1:25">
      <c r="A19" s="240">
        <f t="shared" si="4"/>
        <v>423</v>
      </c>
      <c r="B19" s="240" t="s">
        <v>679</v>
      </c>
      <c r="C19" s="195">
        <v>36000</v>
      </c>
      <c r="D19" s="195">
        <v>36000</v>
      </c>
      <c r="E19" s="49">
        <v>12000</v>
      </c>
      <c r="F19" s="49">
        <v>12000</v>
      </c>
      <c r="G19" s="49">
        <v>12000</v>
      </c>
      <c r="H19" s="49"/>
      <c r="I19" s="49"/>
      <c r="J19" s="49">
        <v>12000</v>
      </c>
      <c r="K19" s="49">
        <f t="shared" si="10"/>
        <v>12000</v>
      </c>
      <c r="L19" s="49">
        <f t="shared" si="11"/>
        <v>36000</v>
      </c>
      <c r="M19" s="46"/>
      <c r="N19" s="44"/>
      <c r="O19" s="44">
        <v>12000</v>
      </c>
      <c r="P19" s="44">
        <f t="shared" si="1"/>
        <v>12000</v>
      </c>
      <c r="Q19" s="250"/>
      <c r="R19" s="44">
        <f t="shared" si="6"/>
        <v>12000</v>
      </c>
      <c r="S19" s="46"/>
      <c r="T19" s="482">
        <v>12000</v>
      </c>
      <c r="U19" s="482"/>
      <c r="V19" s="482">
        <v>12000</v>
      </c>
      <c r="W19" s="53">
        <f t="shared" si="12"/>
        <v>12000</v>
      </c>
      <c r="X19" s="53">
        <f t="shared" si="13"/>
        <v>24000</v>
      </c>
      <c r="Y19" s="520"/>
    </row>
    <row r="20" spans="1:25">
      <c r="A20" s="240">
        <f t="shared" si="4"/>
        <v>424</v>
      </c>
      <c r="B20" s="240" t="s">
        <v>680</v>
      </c>
      <c r="C20" s="195">
        <v>25000</v>
      </c>
      <c r="D20" s="195">
        <v>25000</v>
      </c>
      <c r="E20" s="49">
        <v>8333</v>
      </c>
      <c r="F20" s="49">
        <v>8333</v>
      </c>
      <c r="G20" s="49">
        <v>8333</v>
      </c>
      <c r="H20" s="49"/>
      <c r="I20" s="49"/>
      <c r="J20" s="49">
        <v>8333</v>
      </c>
      <c r="K20" s="49">
        <f t="shared" si="10"/>
        <v>8333</v>
      </c>
      <c r="L20" s="49">
        <f t="shared" si="11"/>
        <v>24999</v>
      </c>
      <c r="M20" s="46"/>
      <c r="N20" s="44"/>
      <c r="O20" s="44">
        <v>8333</v>
      </c>
      <c r="P20" s="44">
        <f t="shared" si="1"/>
        <v>8333</v>
      </c>
      <c r="Q20" s="250"/>
      <c r="R20" s="44">
        <f t="shared" si="6"/>
        <v>8333</v>
      </c>
      <c r="S20" s="46"/>
      <c r="T20" s="482">
        <v>8333</v>
      </c>
      <c r="U20" s="482"/>
      <c r="V20" s="482">
        <v>8333</v>
      </c>
      <c r="W20" s="53">
        <f t="shared" si="12"/>
        <v>8333</v>
      </c>
      <c r="X20" s="53">
        <f t="shared" si="13"/>
        <v>16666</v>
      </c>
      <c r="Y20" s="520"/>
    </row>
    <row r="21" spans="1:25">
      <c r="A21" s="240">
        <f t="shared" si="4"/>
        <v>425</v>
      </c>
      <c r="B21" s="240" t="s">
        <v>681</v>
      </c>
      <c r="C21" s="195">
        <v>12000</v>
      </c>
      <c r="D21" s="195">
        <v>12000</v>
      </c>
      <c r="E21" s="49">
        <v>4000</v>
      </c>
      <c r="F21" s="49">
        <v>4000</v>
      </c>
      <c r="G21" s="49">
        <v>4000</v>
      </c>
      <c r="H21" s="49"/>
      <c r="I21" s="49"/>
      <c r="J21" s="49">
        <v>4000</v>
      </c>
      <c r="K21" s="49">
        <f t="shared" si="10"/>
        <v>4000</v>
      </c>
      <c r="L21" s="49">
        <f t="shared" si="11"/>
        <v>12000</v>
      </c>
      <c r="M21" s="46"/>
      <c r="N21" s="44"/>
      <c r="O21" s="44">
        <v>4000</v>
      </c>
      <c r="P21" s="44">
        <f t="shared" si="1"/>
        <v>4000</v>
      </c>
      <c r="Q21" s="250"/>
      <c r="R21" s="44">
        <f t="shared" si="6"/>
        <v>4000</v>
      </c>
      <c r="S21" s="46"/>
      <c r="T21" s="482">
        <v>4000</v>
      </c>
      <c r="U21" s="482"/>
      <c r="V21" s="482">
        <v>4000</v>
      </c>
      <c r="W21" s="53">
        <f t="shared" si="12"/>
        <v>4000</v>
      </c>
      <c r="X21" s="53">
        <f t="shared" si="13"/>
        <v>8000</v>
      </c>
      <c r="Y21" s="520"/>
    </row>
    <row r="22" spans="1:25">
      <c r="A22" s="240">
        <f t="shared" si="4"/>
        <v>426</v>
      </c>
      <c r="B22" s="240" t="s">
        <v>682</v>
      </c>
      <c r="C22" s="195">
        <v>45000</v>
      </c>
      <c r="D22" s="195">
        <v>45000</v>
      </c>
      <c r="E22" s="49">
        <v>0</v>
      </c>
      <c r="F22" s="49">
        <v>15000</v>
      </c>
      <c r="G22" s="49">
        <v>15000</v>
      </c>
      <c r="H22" s="49"/>
      <c r="I22" s="49"/>
      <c r="J22" s="49">
        <v>15000</v>
      </c>
      <c r="K22" s="49">
        <f t="shared" si="10"/>
        <v>15000</v>
      </c>
      <c r="L22" s="49">
        <f t="shared" si="11"/>
        <v>30000</v>
      </c>
      <c r="M22" s="46"/>
      <c r="N22" s="44"/>
      <c r="O22" s="44">
        <v>15000</v>
      </c>
      <c r="P22" s="44">
        <f t="shared" si="1"/>
        <v>15000</v>
      </c>
      <c r="Q22" s="250"/>
      <c r="R22" s="44">
        <f t="shared" si="6"/>
        <v>15000</v>
      </c>
      <c r="S22" s="46"/>
      <c r="T22" s="482">
        <v>15000</v>
      </c>
      <c r="U22" s="482"/>
      <c r="V22" s="482">
        <v>15000</v>
      </c>
      <c r="W22" s="53">
        <f t="shared" si="12"/>
        <v>15000</v>
      </c>
      <c r="X22" s="53">
        <f t="shared" si="13"/>
        <v>30000</v>
      </c>
      <c r="Y22" s="520"/>
    </row>
    <row r="23" spans="1:25">
      <c r="A23" s="240">
        <f>A22+1</f>
        <v>427</v>
      </c>
      <c r="B23" s="240" t="s">
        <v>683</v>
      </c>
      <c r="C23" s="195">
        <v>0</v>
      </c>
      <c r="D23" s="195">
        <v>0</v>
      </c>
      <c r="E23" s="49">
        <v>0</v>
      </c>
      <c r="F23" s="49"/>
      <c r="G23" s="49"/>
      <c r="H23" s="49"/>
      <c r="I23" s="49"/>
      <c r="J23" s="49"/>
      <c r="K23" s="49">
        <f t="shared" si="10"/>
        <v>0</v>
      </c>
      <c r="L23" s="49">
        <f t="shared" si="11"/>
        <v>0</v>
      </c>
      <c r="M23" s="46"/>
      <c r="N23" s="44"/>
      <c r="O23" s="44"/>
      <c r="P23" s="44">
        <f t="shared" si="1"/>
        <v>0</v>
      </c>
      <c r="Q23" s="250"/>
      <c r="R23" s="44">
        <f t="shared" si="6"/>
        <v>0</v>
      </c>
      <c r="S23" s="46"/>
      <c r="T23" s="482"/>
      <c r="U23" s="482"/>
      <c r="V23" s="482"/>
      <c r="W23" s="53">
        <f t="shared" si="12"/>
        <v>0</v>
      </c>
      <c r="X23" s="53">
        <f t="shared" si="13"/>
        <v>0</v>
      </c>
      <c r="Y23" s="520"/>
    </row>
    <row r="24" spans="1:25">
      <c r="A24" s="240">
        <f t="shared" si="4"/>
        <v>428</v>
      </c>
      <c r="B24" s="240" t="s">
        <v>684</v>
      </c>
      <c r="C24" s="195">
        <v>6000</v>
      </c>
      <c r="D24" s="195">
        <v>6000</v>
      </c>
      <c r="E24" s="49">
        <v>0</v>
      </c>
      <c r="F24" s="49">
        <v>2000</v>
      </c>
      <c r="G24" s="49">
        <v>2000</v>
      </c>
      <c r="H24" s="49"/>
      <c r="I24" s="49"/>
      <c r="J24" s="49">
        <v>2000</v>
      </c>
      <c r="K24" s="49">
        <f t="shared" si="10"/>
        <v>2000</v>
      </c>
      <c r="L24" s="49">
        <f t="shared" si="11"/>
        <v>4000</v>
      </c>
      <c r="M24" s="46"/>
      <c r="N24" s="44"/>
      <c r="O24" s="44">
        <v>2000</v>
      </c>
      <c r="P24" s="44">
        <f t="shared" si="1"/>
        <v>2000</v>
      </c>
      <c r="Q24" s="250"/>
      <c r="R24" s="44">
        <f t="shared" si="6"/>
        <v>2000</v>
      </c>
      <c r="S24" s="46"/>
      <c r="T24" s="482">
        <v>2000</v>
      </c>
      <c r="U24" s="482"/>
      <c r="V24" s="482">
        <v>2000</v>
      </c>
      <c r="W24" s="53">
        <f t="shared" si="12"/>
        <v>2000</v>
      </c>
      <c r="X24" s="53">
        <f t="shared" si="13"/>
        <v>4000</v>
      </c>
      <c r="Y24" s="520"/>
    </row>
    <row r="25" spans="1:25" ht="17.850000000000001" customHeight="1">
      <c r="A25" s="240">
        <v>429</v>
      </c>
      <c r="B25" s="240" t="s">
        <v>685</v>
      </c>
      <c r="C25" s="523"/>
      <c r="D25" s="523"/>
      <c r="E25" s="519"/>
      <c r="F25" s="519"/>
      <c r="G25" s="519"/>
      <c r="H25" s="519"/>
      <c r="I25" s="49"/>
      <c r="J25" s="49"/>
      <c r="K25" s="49">
        <f t="shared" si="10"/>
        <v>0</v>
      </c>
      <c r="L25" s="49">
        <f t="shared" si="11"/>
        <v>0</v>
      </c>
      <c r="M25" s="46"/>
      <c r="N25" s="44"/>
      <c r="O25" s="44"/>
      <c r="P25" s="44">
        <f t="shared" si="1"/>
        <v>0</v>
      </c>
      <c r="Q25" s="710" t="s">
        <v>1113</v>
      </c>
      <c r="R25" s="44">
        <f t="shared" si="6"/>
        <v>0</v>
      </c>
      <c r="S25" s="46"/>
      <c r="T25" s="482"/>
      <c r="U25" s="482"/>
      <c r="V25" s="482"/>
      <c r="W25" s="53">
        <f t="shared" si="12"/>
        <v>0</v>
      </c>
      <c r="X25" s="53">
        <f t="shared" si="13"/>
        <v>0</v>
      </c>
      <c r="Y25" s="520"/>
    </row>
    <row r="26" spans="1:25" ht="16.7" customHeight="1">
      <c r="E26" s="49"/>
      <c r="F26" s="49"/>
      <c r="G26" s="49"/>
      <c r="H26" s="49"/>
      <c r="I26" s="49"/>
      <c r="J26" s="49"/>
      <c r="K26" s="49">
        <f t="shared" si="10"/>
        <v>0</v>
      </c>
      <c r="L26" s="49">
        <f t="shared" si="11"/>
        <v>0</v>
      </c>
      <c r="M26" s="46"/>
      <c r="N26" s="44"/>
      <c r="O26" s="44"/>
      <c r="P26" s="44">
        <f t="shared" si="1"/>
        <v>0</v>
      </c>
      <c r="Q26" s="250"/>
      <c r="R26" s="44">
        <f t="shared" si="6"/>
        <v>0</v>
      </c>
      <c r="S26" s="46"/>
      <c r="T26" s="482"/>
      <c r="U26" s="482"/>
      <c r="V26" s="482"/>
      <c r="W26" s="53">
        <f t="shared" si="12"/>
        <v>0</v>
      </c>
      <c r="X26" s="53">
        <f t="shared" si="13"/>
        <v>0</v>
      </c>
      <c r="Y26" s="520"/>
    </row>
    <row r="27" spans="1:25">
      <c r="A27" s="524">
        <f>A25+1</f>
        <v>430</v>
      </c>
      <c r="B27" s="524" t="s">
        <v>686</v>
      </c>
      <c r="C27" s="195">
        <v>0</v>
      </c>
      <c r="D27" s="195">
        <v>0</v>
      </c>
      <c r="E27" s="49">
        <v>5001</v>
      </c>
      <c r="F27" s="49"/>
      <c r="G27" s="49"/>
      <c r="H27" s="49"/>
      <c r="I27" s="49"/>
      <c r="J27" s="49"/>
      <c r="K27" s="49">
        <f t="shared" si="10"/>
        <v>0</v>
      </c>
      <c r="L27" s="49">
        <f t="shared" si="11"/>
        <v>5001</v>
      </c>
      <c r="M27" s="46"/>
      <c r="N27" s="44"/>
      <c r="O27" s="44"/>
      <c r="P27" s="44">
        <f t="shared" si="1"/>
        <v>0</v>
      </c>
      <c r="Q27" s="250"/>
      <c r="R27" s="44">
        <f t="shared" si="6"/>
        <v>0</v>
      </c>
      <c r="S27" s="46"/>
      <c r="T27" s="482"/>
      <c r="U27" s="482"/>
      <c r="V27" s="482"/>
      <c r="W27" s="53">
        <f t="shared" si="12"/>
        <v>0</v>
      </c>
      <c r="X27" s="53">
        <f t="shared" si="13"/>
        <v>0</v>
      </c>
      <c r="Y27" s="520"/>
    </row>
    <row r="28" spans="1:25">
      <c r="A28" s="240">
        <f t="shared" si="4"/>
        <v>431</v>
      </c>
      <c r="B28" s="240" t="s">
        <v>687</v>
      </c>
      <c r="C28" s="49">
        <v>42000</v>
      </c>
      <c r="D28" s="49">
        <v>42000</v>
      </c>
      <c r="E28" s="49">
        <v>14000</v>
      </c>
      <c r="F28" s="49">
        <v>14000</v>
      </c>
      <c r="G28" s="49">
        <v>14000</v>
      </c>
      <c r="H28" s="49"/>
      <c r="I28" s="49"/>
      <c r="J28" s="49">
        <v>14000</v>
      </c>
      <c r="K28" s="49">
        <f t="shared" si="10"/>
        <v>14000</v>
      </c>
      <c r="L28" s="49">
        <f t="shared" si="11"/>
        <v>42000</v>
      </c>
      <c r="M28" s="46"/>
      <c r="N28" s="44"/>
      <c r="O28" s="44">
        <v>14000</v>
      </c>
      <c r="P28" s="44">
        <f t="shared" si="1"/>
        <v>14000</v>
      </c>
      <c r="Q28" s="250"/>
      <c r="R28" s="44">
        <f t="shared" si="6"/>
        <v>14000</v>
      </c>
      <c r="S28" s="46"/>
      <c r="T28" s="482">
        <v>14000</v>
      </c>
      <c r="U28" s="482"/>
      <c r="V28" s="482">
        <v>14000</v>
      </c>
      <c r="W28" s="53">
        <f t="shared" si="12"/>
        <v>14000</v>
      </c>
      <c r="X28" s="53">
        <f t="shared" si="13"/>
        <v>28000</v>
      </c>
      <c r="Y28" s="520"/>
    </row>
    <row r="29" spans="1:25">
      <c r="A29" s="240">
        <f t="shared" si="4"/>
        <v>432</v>
      </c>
      <c r="B29" s="240" t="s">
        <v>688</v>
      </c>
      <c r="D29" s="195">
        <v>-20000</v>
      </c>
      <c r="E29" s="49"/>
      <c r="F29" s="49">
        <v>0</v>
      </c>
      <c r="G29" s="49"/>
      <c r="H29" s="49"/>
      <c r="I29" s="49"/>
      <c r="J29" s="49"/>
      <c r="K29" s="49">
        <f t="shared" si="10"/>
        <v>0</v>
      </c>
      <c r="L29" s="49">
        <f t="shared" si="11"/>
        <v>0</v>
      </c>
      <c r="M29" s="46"/>
      <c r="N29" s="44"/>
      <c r="O29" s="44"/>
      <c r="P29" s="44">
        <f t="shared" si="1"/>
        <v>0</v>
      </c>
      <c r="Q29" s="250"/>
      <c r="R29" s="44">
        <f t="shared" si="6"/>
        <v>0</v>
      </c>
      <c r="S29" s="46"/>
      <c r="T29" s="482"/>
      <c r="U29" s="482"/>
      <c r="V29" s="482"/>
      <c r="W29" s="53">
        <f t="shared" si="12"/>
        <v>0</v>
      </c>
      <c r="X29" s="53">
        <f t="shared" si="13"/>
        <v>0</v>
      </c>
      <c r="Y29" s="520"/>
    </row>
    <row r="30" spans="1:25" s="354" customFormat="1">
      <c r="A30" s="292">
        <f t="shared" si="4"/>
        <v>433</v>
      </c>
      <c r="B30" s="292" t="s">
        <v>689</v>
      </c>
      <c r="C30" s="309">
        <f>SUM(C16:C28)</f>
        <v>208000</v>
      </c>
      <c r="D30" s="309">
        <f t="shared" ref="D30:H30" si="14">SUM(D16:D29)</f>
        <v>188000</v>
      </c>
      <c r="E30" s="309">
        <f t="shared" si="14"/>
        <v>54334</v>
      </c>
      <c r="F30" s="309">
        <f t="shared" si="14"/>
        <v>69333</v>
      </c>
      <c r="G30" s="309">
        <f t="shared" si="14"/>
        <v>69333</v>
      </c>
      <c r="H30" s="309">
        <f t="shared" si="14"/>
        <v>0</v>
      </c>
      <c r="I30" s="309">
        <f>SUM(I16:I29)</f>
        <v>0</v>
      </c>
      <c r="J30" s="309">
        <f>SUM(J16:J29)</f>
        <v>69333</v>
      </c>
      <c r="K30" s="309">
        <f t="shared" ref="K30" si="15">SUM(K16:K29)</f>
        <v>69333</v>
      </c>
      <c r="L30" s="309">
        <f t="shared" si="11"/>
        <v>193000</v>
      </c>
      <c r="M30" s="311"/>
      <c r="N30" s="312">
        <f>SUM(N16:N29)</f>
        <v>0</v>
      </c>
      <c r="O30" s="312">
        <f t="shared" ref="O30:P30" si="16">SUM(O16:O29)</f>
        <v>69333</v>
      </c>
      <c r="P30" s="312">
        <f t="shared" si="16"/>
        <v>69333</v>
      </c>
      <c r="Q30" s="313"/>
      <c r="R30" s="312">
        <f t="shared" si="6"/>
        <v>69333</v>
      </c>
      <c r="S30" s="311"/>
      <c r="T30" s="314">
        <f t="shared" ref="T30:Y30" si="17">SUM(T16:T29)</f>
        <v>69333</v>
      </c>
      <c r="U30" s="314">
        <f t="shared" si="17"/>
        <v>0</v>
      </c>
      <c r="V30" s="314">
        <f t="shared" si="17"/>
        <v>69333</v>
      </c>
      <c r="W30" s="314">
        <f t="shared" si="17"/>
        <v>69333</v>
      </c>
      <c r="X30" s="314">
        <f t="shared" si="17"/>
        <v>138666</v>
      </c>
      <c r="Y30" s="525">
        <f t="shared" si="17"/>
        <v>0</v>
      </c>
    </row>
    <row r="31" spans="1:25">
      <c r="A31" s="240">
        <f t="shared" si="4"/>
        <v>434</v>
      </c>
      <c r="D31" s="195">
        <v>0</v>
      </c>
      <c r="L31" s="49">
        <f t="shared" si="11"/>
        <v>0</v>
      </c>
      <c r="N31" s="196"/>
      <c r="O31" s="196"/>
      <c r="P31" s="196">
        <f t="shared" si="1"/>
        <v>0</v>
      </c>
      <c r="Q31" s="250"/>
      <c r="R31" s="196">
        <f t="shared" si="6"/>
        <v>0</v>
      </c>
      <c r="T31" s="482"/>
      <c r="U31" s="482"/>
      <c r="V31" s="482"/>
      <c r="W31" s="482"/>
      <c r="X31" s="482"/>
      <c r="Y31" s="520"/>
    </row>
    <row r="32" spans="1:25">
      <c r="A32" s="236">
        <f>A31+1</f>
        <v>435</v>
      </c>
      <c r="B32" s="236" t="s">
        <v>690</v>
      </c>
      <c r="D32" s="195">
        <v>0</v>
      </c>
      <c r="L32" s="49">
        <f t="shared" si="11"/>
        <v>0</v>
      </c>
      <c r="N32" s="196"/>
      <c r="O32" s="196"/>
      <c r="P32" s="196">
        <f t="shared" si="1"/>
        <v>0</v>
      </c>
      <c r="Q32" s="250"/>
      <c r="R32" s="196">
        <f t="shared" si="6"/>
        <v>0</v>
      </c>
      <c r="T32" s="482"/>
      <c r="U32" s="482"/>
      <c r="V32" s="482"/>
      <c r="W32" s="482"/>
      <c r="X32" s="482"/>
      <c r="Y32" s="520"/>
    </row>
    <row r="33" spans="1:170" ht="28.5">
      <c r="A33" s="240">
        <f t="shared" si="4"/>
        <v>436</v>
      </c>
      <c r="B33" s="240" t="s">
        <v>691</v>
      </c>
      <c r="C33" s="195">
        <v>300000</v>
      </c>
      <c r="D33" s="195">
        <v>120000</v>
      </c>
      <c r="E33" s="49">
        <v>783</v>
      </c>
      <c r="F33" s="49">
        <v>61333</v>
      </c>
      <c r="G33" s="49">
        <v>35000</v>
      </c>
      <c r="H33" s="521" t="s">
        <v>692</v>
      </c>
      <c r="I33" s="49"/>
      <c r="J33" s="49">
        <v>40000</v>
      </c>
      <c r="K33" s="49">
        <f t="shared" ref="K33:K38" si="18">J33</f>
        <v>40000</v>
      </c>
      <c r="L33" s="49">
        <f t="shared" si="11"/>
        <v>75783</v>
      </c>
      <c r="M33" s="46"/>
      <c r="N33" s="44"/>
      <c r="O33" s="44">
        <v>40000</v>
      </c>
      <c r="P33" s="44">
        <f t="shared" si="1"/>
        <v>40000</v>
      </c>
      <c r="Q33" s="250"/>
      <c r="R33" s="44">
        <f t="shared" si="6"/>
        <v>40000</v>
      </c>
      <c r="S33" s="46"/>
      <c r="T33" s="482">
        <v>40000</v>
      </c>
      <c r="U33" s="482"/>
      <c r="V33" s="482">
        <v>40000</v>
      </c>
      <c r="W33" s="53">
        <f t="shared" ref="W33:W38" si="19">U33+V33</f>
        <v>40000</v>
      </c>
      <c r="X33" s="53">
        <f t="shared" ref="X33:X38" si="20">T33+W33</f>
        <v>80000</v>
      </c>
      <c r="Y33" s="520" t="s">
        <v>693</v>
      </c>
    </row>
    <row r="34" spans="1:170">
      <c r="A34" s="240">
        <f t="shared" si="4"/>
        <v>437</v>
      </c>
      <c r="B34" s="240" t="s">
        <v>694</v>
      </c>
      <c r="C34" s="195">
        <v>1292000</v>
      </c>
      <c r="D34" s="195">
        <v>1204486</v>
      </c>
      <c r="E34" s="49">
        <v>401495</v>
      </c>
      <c r="F34" s="49">
        <v>401495</v>
      </c>
      <c r="G34" s="49">
        <v>401495</v>
      </c>
      <c r="H34" s="49"/>
      <c r="I34" s="49"/>
      <c r="J34" s="49">
        <v>401495</v>
      </c>
      <c r="K34" s="49">
        <f t="shared" si="18"/>
        <v>401495</v>
      </c>
      <c r="L34" s="49">
        <f t="shared" si="11"/>
        <v>1204485</v>
      </c>
      <c r="M34" s="46"/>
      <c r="N34" s="44"/>
      <c r="O34" s="44">
        <v>401495</v>
      </c>
      <c r="P34" s="44">
        <f t="shared" si="1"/>
        <v>401495</v>
      </c>
      <c r="Q34" s="250"/>
      <c r="R34" s="44">
        <f t="shared" si="6"/>
        <v>401495</v>
      </c>
      <c r="S34" s="46"/>
      <c r="T34" s="482">
        <v>401495</v>
      </c>
      <c r="U34" s="482"/>
      <c r="V34" s="482">
        <v>401495</v>
      </c>
      <c r="W34" s="53">
        <f t="shared" si="19"/>
        <v>401495</v>
      </c>
      <c r="X34" s="53">
        <f t="shared" si="20"/>
        <v>802990</v>
      </c>
      <c r="Y34" s="520"/>
    </row>
    <row r="35" spans="1:170">
      <c r="A35" s="240">
        <f t="shared" si="4"/>
        <v>438</v>
      </c>
      <c r="B35" s="240" t="s">
        <v>695</v>
      </c>
      <c r="C35" s="195">
        <v>386369</v>
      </c>
      <c r="D35" s="195">
        <v>354120</v>
      </c>
      <c r="E35" s="49">
        <v>112910</v>
      </c>
      <c r="F35" s="49">
        <v>118040</v>
      </c>
      <c r="G35" s="49">
        <v>118040</v>
      </c>
      <c r="H35" s="49"/>
      <c r="I35" s="49"/>
      <c r="J35" s="49">
        <v>118040</v>
      </c>
      <c r="K35" s="49">
        <f t="shared" si="18"/>
        <v>118040</v>
      </c>
      <c r="L35" s="49">
        <f t="shared" si="11"/>
        <v>348990</v>
      </c>
      <c r="M35" s="46"/>
      <c r="N35" s="44"/>
      <c r="O35" s="44">
        <v>118040</v>
      </c>
      <c r="P35" s="44">
        <f t="shared" si="1"/>
        <v>118040</v>
      </c>
      <c r="Q35" s="250"/>
      <c r="R35" s="44">
        <f t="shared" si="6"/>
        <v>118040</v>
      </c>
      <c r="S35" s="46"/>
      <c r="T35" s="482">
        <v>118040</v>
      </c>
      <c r="U35" s="482"/>
      <c r="V35" s="482">
        <v>118040</v>
      </c>
      <c r="W35" s="53">
        <f t="shared" si="19"/>
        <v>118040</v>
      </c>
      <c r="X35" s="53">
        <f t="shared" si="20"/>
        <v>236080</v>
      </c>
      <c r="Y35" s="520"/>
    </row>
    <row r="36" spans="1:170">
      <c r="A36" s="240">
        <f t="shared" si="4"/>
        <v>439</v>
      </c>
      <c r="B36" s="240" t="s">
        <v>696</v>
      </c>
      <c r="C36" s="195">
        <v>350000</v>
      </c>
      <c r="D36" s="195">
        <v>41398</v>
      </c>
      <c r="E36" s="49">
        <v>13799</v>
      </c>
      <c r="F36" s="49">
        <v>0</v>
      </c>
      <c r="G36" s="49"/>
      <c r="H36" s="49"/>
      <c r="I36" s="49"/>
      <c r="J36" s="49">
        <v>0</v>
      </c>
      <c r="K36" s="49">
        <f t="shared" si="18"/>
        <v>0</v>
      </c>
      <c r="L36" s="49">
        <f t="shared" si="11"/>
        <v>13799</v>
      </c>
      <c r="M36" s="46"/>
      <c r="N36" s="44"/>
      <c r="O36" s="44"/>
      <c r="P36" s="44">
        <f t="shared" si="1"/>
        <v>0</v>
      </c>
      <c r="Q36" s="250"/>
      <c r="R36" s="44">
        <f t="shared" si="6"/>
        <v>0</v>
      </c>
      <c r="S36" s="46"/>
      <c r="T36" s="482">
        <v>0</v>
      </c>
      <c r="U36" s="482"/>
      <c r="V36" s="482">
        <v>0</v>
      </c>
      <c r="W36" s="53">
        <f t="shared" si="19"/>
        <v>0</v>
      </c>
      <c r="X36" s="53">
        <f t="shared" si="20"/>
        <v>0</v>
      </c>
      <c r="Y36" s="520"/>
    </row>
    <row r="37" spans="1:170">
      <c r="A37" s="240">
        <f t="shared" si="4"/>
        <v>440</v>
      </c>
      <c r="E37" s="49"/>
      <c r="F37" s="49"/>
      <c r="G37" s="49"/>
      <c r="H37" s="49"/>
      <c r="I37" s="49"/>
      <c r="J37" s="49"/>
      <c r="K37" s="49">
        <f t="shared" si="18"/>
        <v>0</v>
      </c>
      <c r="L37" s="49">
        <f t="shared" si="11"/>
        <v>0</v>
      </c>
      <c r="M37" s="46"/>
      <c r="N37" s="44"/>
      <c r="O37" s="44"/>
      <c r="P37" s="44">
        <f t="shared" si="1"/>
        <v>0</v>
      </c>
      <c r="Q37" s="250"/>
      <c r="R37" s="44">
        <f t="shared" si="6"/>
        <v>0</v>
      </c>
      <c r="S37" s="46"/>
      <c r="T37" s="482"/>
      <c r="U37" s="482"/>
      <c r="V37" s="482"/>
      <c r="W37" s="53">
        <f t="shared" si="19"/>
        <v>0</v>
      </c>
      <c r="X37" s="53">
        <f t="shared" si="20"/>
        <v>0</v>
      </c>
      <c r="Y37" s="520"/>
    </row>
    <row r="38" spans="1:170">
      <c r="A38" s="240">
        <f t="shared" si="4"/>
        <v>441</v>
      </c>
      <c r="B38" s="240" t="s">
        <v>697</v>
      </c>
      <c r="C38" s="195">
        <v>70000</v>
      </c>
      <c r="D38" s="195">
        <v>90000</v>
      </c>
      <c r="E38" s="49">
        <v>5675</v>
      </c>
      <c r="F38" s="49">
        <v>90000</v>
      </c>
      <c r="G38" s="49">
        <v>3000</v>
      </c>
      <c r="H38" s="49" t="s">
        <v>698</v>
      </c>
      <c r="I38" s="49"/>
      <c r="J38" s="49">
        <v>67000</v>
      </c>
      <c r="K38" s="49">
        <f t="shared" si="18"/>
        <v>67000</v>
      </c>
      <c r="L38" s="49">
        <f t="shared" si="11"/>
        <v>75675</v>
      </c>
      <c r="M38" s="46"/>
      <c r="N38" s="44"/>
      <c r="O38" s="44">
        <v>67000</v>
      </c>
      <c r="P38" s="44">
        <f t="shared" si="1"/>
        <v>67000</v>
      </c>
      <c r="Q38" s="250"/>
      <c r="R38" s="44">
        <f t="shared" si="6"/>
        <v>67000</v>
      </c>
      <c r="S38" s="46"/>
      <c r="T38" s="482">
        <v>23333</v>
      </c>
      <c r="U38" s="482"/>
      <c r="V38" s="482">
        <v>23333</v>
      </c>
      <c r="W38" s="53">
        <f t="shared" si="19"/>
        <v>23333</v>
      </c>
      <c r="X38" s="53">
        <f t="shared" si="20"/>
        <v>46666</v>
      </c>
      <c r="Y38" s="520" t="s">
        <v>699</v>
      </c>
    </row>
    <row r="39" spans="1:170" s="354" customFormat="1">
      <c r="A39" s="292">
        <f t="shared" si="4"/>
        <v>442</v>
      </c>
      <c r="B39" s="292" t="s">
        <v>700</v>
      </c>
      <c r="C39" s="309">
        <f>SUM(C33:C38)</f>
        <v>2398369</v>
      </c>
      <c r="D39" s="309">
        <f t="shared" ref="D39:K39" si="21">SUM(D33:D38)</f>
        <v>1810004</v>
      </c>
      <c r="E39" s="309">
        <f t="shared" si="21"/>
        <v>534662</v>
      </c>
      <c r="F39" s="309">
        <f t="shared" si="21"/>
        <v>670868</v>
      </c>
      <c r="G39" s="309">
        <f t="shared" si="21"/>
        <v>557535</v>
      </c>
      <c r="H39" s="309">
        <f t="shared" si="21"/>
        <v>0</v>
      </c>
      <c r="I39" s="309">
        <f t="shared" si="21"/>
        <v>0</v>
      </c>
      <c r="J39" s="309">
        <f t="shared" si="21"/>
        <v>626535</v>
      </c>
      <c r="K39" s="309">
        <f t="shared" si="21"/>
        <v>626535</v>
      </c>
      <c r="L39" s="309">
        <f t="shared" si="11"/>
        <v>1718732</v>
      </c>
      <c r="M39" s="311"/>
      <c r="N39" s="312">
        <f t="shared" ref="N39:P39" si="22">SUM(N33:N38)</f>
        <v>0</v>
      </c>
      <c r="O39" s="312">
        <f t="shared" si="22"/>
        <v>626535</v>
      </c>
      <c r="P39" s="312">
        <f t="shared" si="22"/>
        <v>626535</v>
      </c>
      <c r="Q39" s="475"/>
      <c r="R39" s="312">
        <f t="shared" si="6"/>
        <v>626535</v>
      </c>
      <c r="S39" s="311"/>
      <c r="T39" s="314">
        <f t="shared" ref="T39:Y39" si="23">SUM(T33:T38)</f>
        <v>582868</v>
      </c>
      <c r="U39" s="314">
        <f t="shared" si="23"/>
        <v>0</v>
      </c>
      <c r="V39" s="314">
        <f t="shared" si="23"/>
        <v>582868</v>
      </c>
      <c r="W39" s="314">
        <f t="shared" si="23"/>
        <v>582868</v>
      </c>
      <c r="X39" s="314">
        <f t="shared" si="23"/>
        <v>1165736</v>
      </c>
      <c r="Y39" s="525">
        <f t="shared" si="23"/>
        <v>0</v>
      </c>
    </row>
    <row r="40" spans="1:170" s="431" customFormat="1">
      <c r="A40" s="269">
        <f t="shared" si="4"/>
        <v>443</v>
      </c>
      <c r="B40" s="269" t="s">
        <v>701</v>
      </c>
      <c r="C40" s="415">
        <f>C39+C30</f>
        <v>2606369</v>
      </c>
      <c r="D40" s="415">
        <f t="shared" ref="D40:K40" si="24">D39+D30</f>
        <v>1998004</v>
      </c>
      <c r="E40" s="415">
        <f t="shared" si="24"/>
        <v>588996</v>
      </c>
      <c r="F40" s="415">
        <f t="shared" si="24"/>
        <v>740201</v>
      </c>
      <c r="G40" s="415">
        <f t="shared" si="24"/>
        <v>626868</v>
      </c>
      <c r="H40" s="415">
        <f t="shared" si="24"/>
        <v>0</v>
      </c>
      <c r="I40" s="415">
        <f t="shared" si="24"/>
        <v>0</v>
      </c>
      <c r="J40" s="415">
        <f t="shared" si="24"/>
        <v>695868</v>
      </c>
      <c r="K40" s="415">
        <f t="shared" si="24"/>
        <v>695868</v>
      </c>
      <c r="L40" s="415">
        <f t="shared" si="11"/>
        <v>1911732</v>
      </c>
      <c r="M40" s="416"/>
      <c r="N40" s="417">
        <f t="shared" ref="N40:P40" si="25">N39+N30</f>
        <v>0</v>
      </c>
      <c r="O40" s="417">
        <f t="shared" si="25"/>
        <v>695868</v>
      </c>
      <c r="P40" s="417">
        <f t="shared" si="25"/>
        <v>695868</v>
      </c>
      <c r="Q40" s="418"/>
      <c r="R40" s="417">
        <f t="shared" si="6"/>
        <v>695868</v>
      </c>
      <c r="S40" s="416"/>
      <c r="T40" s="443">
        <f t="shared" ref="T40:Y40" si="26">T39+T30</f>
        <v>652201</v>
      </c>
      <c r="U40" s="443">
        <f t="shared" si="26"/>
        <v>0</v>
      </c>
      <c r="V40" s="443">
        <f t="shared" si="26"/>
        <v>652201</v>
      </c>
      <c r="W40" s="443">
        <f t="shared" si="26"/>
        <v>652201</v>
      </c>
      <c r="X40" s="443">
        <f t="shared" si="26"/>
        <v>1304402</v>
      </c>
      <c r="Y40" s="257">
        <f t="shared" si="26"/>
        <v>0</v>
      </c>
      <c r="Z40" s="354"/>
      <c r="AA40" s="354"/>
      <c r="AB40" s="354"/>
      <c r="AC40" s="354"/>
      <c r="AD40" s="354"/>
      <c r="AE40" s="354"/>
      <c r="AF40" s="354"/>
      <c r="AG40" s="354"/>
      <c r="AH40" s="354"/>
      <c r="AI40" s="354"/>
      <c r="AJ40" s="354"/>
      <c r="AK40" s="354"/>
      <c r="AL40" s="354"/>
      <c r="AM40" s="354"/>
      <c r="AN40" s="354"/>
      <c r="AO40" s="354"/>
      <c r="AP40" s="354"/>
      <c r="AQ40" s="354"/>
      <c r="AR40" s="354"/>
      <c r="AS40" s="354"/>
      <c r="AT40" s="354"/>
      <c r="AU40" s="354"/>
      <c r="AV40" s="354"/>
      <c r="AW40" s="354"/>
      <c r="AX40" s="354"/>
      <c r="AY40" s="354"/>
      <c r="AZ40" s="354"/>
      <c r="BA40" s="354"/>
      <c r="BB40" s="354"/>
      <c r="BC40" s="354"/>
      <c r="BD40" s="354"/>
      <c r="BE40" s="354"/>
      <c r="BF40" s="354"/>
      <c r="BG40" s="354"/>
      <c r="BH40" s="354"/>
      <c r="BI40" s="354"/>
      <c r="BJ40" s="354"/>
      <c r="BK40" s="354"/>
      <c r="BL40" s="354"/>
      <c r="BM40" s="354"/>
      <c r="BN40" s="354"/>
      <c r="BO40" s="354"/>
      <c r="BP40" s="354"/>
      <c r="BQ40" s="354"/>
      <c r="BR40" s="354"/>
      <c r="BS40" s="354"/>
      <c r="BT40" s="354"/>
      <c r="BU40" s="354"/>
      <c r="BV40" s="354"/>
      <c r="BW40" s="354"/>
      <c r="BX40" s="354"/>
      <c r="BY40" s="354"/>
      <c r="BZ40" s="354"/>
      <c r="CA40" s="354"/>
      <c r="CB40" s="354"/>
      <c r="CC40" s="354"/>
      <c r="CD40" s="354"/>
      <c r="CE40" s="354"/>
      <c r="CF40" s="354"/>
      <c r="CG40" s="354"/>
      <c r="CH40" s="354"/>
      <c r="CI40" s="354"/>
      <c r="CJ40" s="354"/>
      <c r="CK40" s="354"/>
      <c r="CL40" s="354"/>
      <c r="CM40" s="354"/>
      <c r="CN40" s="354"/>
      <c r="CO40" s="354"/>
      <c r="CP40" s="354"/>
      <c r="CQ40" s="354"/>
      <c r="CR40" s="354"/>
      <c r="CS40" s="354"/>
      <c r="CT40" s="354"/>
      <c r="CU40" s="354"/>
      <c r="CV40" s="354"/>
      <c r="CW40" s="354"/>
      <c r="CX40" s="354"/>
      <c r="CY40" s="354"/>
      <c r="CZ40" s="354"/>
      <c r="DA40" s="354"/>
      <c r="DB40" s="354"/>
      <c r="DC40" s="354"/>
      <c r="DD40" s="354"/>
      <c r="DE40" s="354"/>
      <c r="DF40" s="354"/>
      <c r="DG40" s="354"/>
      <c r="DH40" s="354"/>
      <c r="DI40" s="354"/>
      <c r="DJ40" s="354"/>
      <c r="DK40" s="354"/>
      <c r="DL40" s="354"/>
      <c r="DM40" s="354"/>
      <c r="DN40" s="354"/>
      <c r="DO40" s="354"/>
      <c r="DP40" s="354"/>
      <c r="DQ40" s="354"/>
      <c r="DR40" s="354"/>
      <c r="DS40" s="354"/>
      <c r="DT40" s="354"/>
      <c r="DU40" s="354"/>
      <c r="DV40" s="354"/>
      <c r="DW40" s="354"/>
      <c r="DX40" s="354"/>
      <c r="DY40" s="354"/>
      <c r="DZ40" s="354"/>
      <c r="EA40" s="354"/>
      <c r="EB40" s="354"/>
      <c r="EC40" s="354"/>
      <c r="ED40" s="354"/>
      <c r="EE40" s="354"/>
      <c r="EF40" s="354"/>
      <c r="EG40" s="354"/>
      <c r="EH40" s="354"/>
      <c r="EI40" s="354"/>
      <c r="EJ40" s="354"/>
      <c r="EK40" s="354"/>
      <c r="EL40" s="354"/>
      <c r="EM40" s="354"/>
      <c r="EN40" s="354"/>
      <c r="EO40" s="354"/>
      <c r="EP40" s="354"/>
      <c r="EQ40" s="354"/>
      <c r="ER40" s="354"/>
      <c r="ES40" s="354"/>
      <c r="ET40" s="354"/>
      <c r="EU40" s="354"/>
      <c r="EV40" s="354"/>
      <c r="EW40" s="354"/>
      <c r="EX40" s="354"/>
      <c r="EY40" s="354"/>
      <c r="EZ40" s="354"/>
      <c r="FA40" s="354"/>
      <c r="FB40" s="354"/>
      <c r="FC40" s="354"/>
      <c r="FD40" s="354"/>
      <c r="FE40" s="354"/>
      <c r="FF40" s="354"/>
      <c r="FG40" s="354"/>
      <c r="FH40" s="354"/>
      <c r="FI40" s="354"/>
      <c r="FJ40" s="354"/>
      <c r="FK40" s="354"/>
      <c r="FL40" s="354"/>
      <c r="FM40" s="354"/>
      <c r="FN40" s="354"/>
    </row>
    <row r="41" spans="1:170">
      <c r="A41" s="240">
        <f t="shared" si="4"/>
        <v>444</v>
      </c>
      <c r="D41" s="195">
        <v>0</v>
      </c>
      <c r="N41" s="196"/>
      <c r="O41" s="196"/>
      <c r="P41" s="196">
        <f t="shared" si="1"/>
        <v>0</v>
      </c>
      <c r="Q41" s="250"/>
      <c r="R41" s="196">
        <f t="shared" si="6"/>
        <v>0</v>
      </c>
      <c r="T41" s="346"/>
      <c r="U41" s="346"/>
      <c r="V41" s="346"/>
      <c r="W41" s="346"/>
      <c r="X41" s="346"/>
      <c r="Y41" s="488"/>
    </row>
    <row r="42" spans="1:170" ht="15" customHeight="1">
      <c r="A42" s="236">
        <f t="shared" si="4"/>
        <v>445</v>
      </c>
      <c r="B42" s="236" t="s">
        <v>702</v>
      </c>
      <c r="D42" s="195">
        <v>0</v>
      </c>
      <c r="N42" s="196"/>
      <c r="O42" s="196"/>
      <c r="P42" s="196">
        <f t="shared" si="1"/>
        <v>0</v>
      </c>
      <c r="Q42" s="250"/>
      <c r="R42" s="196">
        <f t="shared" si="6"/>
        <v>0</v>
      </c>
      <c r="T42" s="346"/>
      <c r="U42" s="346"/>
      <c r="V42" s="346"/>
      <c r="W42" s="346"/>
      <c r="X42" s="346"/>
      <c r="Y42" s="488"/>
    </row>
    <row r="43" spans="1:170" ht="15" customHeight="1">
      <c r="A43" s="236"/>
      <c r="B43" s="236"/>
      <c r="N43" s="196"/>
      <c r="O43" s="196"/>
      <c r="P43" s="196">
        <f t="shared" si="1"/>
        <v>0</v>
      </c>
      <c r="Q43" s="250"/>
      <c r="R43" s="196">
        <f t="shared" si="6"/>
        <v>0</v>
      </c>
      <c r="T43" s="346"/>
      <c r="U43" s="346"/>
      <c r="V43" s="346"/>
      <c r="W43" s="346"/>
      <c r="X43" s="346"/>
      <c r="Y43" s="488"/>
    </row>
    <row r="44" spans="1:170" ht="23.45" customHeight="1">
      <c r="A44" s="240">
        <f>A42+1</f>
        <v>446</v>
      </c>
      <c r="B44" s="240" t="s">
        <v>703</v>
      </c>
      <c r="C44" s="195">
        <f>30000-5000</f>
        <v>25000</v>
      </c>
      <c r="D44" s="195">
        <v>10000</v>
      </c>
      <c r="E44" s="49"/>
      <c r="F44" s="49">
        <v>3333</v>
      </c>
      <c r="G44" s="49">
        <v>3333</v>
      </c>
      <c r="H44" s="49"/>
      <c r="I44" s="49"/>
      <c r="J44" s="49">
        <v>3333</v>
      </c>
      <c r="K44" s="49">
        <f t="shared" ref="K44:K46" si="27">J44</f>
        <v>3333</v>
      </c>
      <c r="L44" s="49">
        <f>E44+G44+K44</f>
        <v>6666</v>
      </c>
      <c r="M44" s="46"/>
      <c r="N44" s="44"/>
      <c r="O44" s="44">
        <v>3333</v>
      </c>
      <c r="P44" s="44">
        <f t="shared" si="1"/>
        <v>3333</v>
      </c>
      <c r="Q44" s="265"/>
      <c r="R44" s="44">
        <f t="shared" si="6"/>
        <v>3333</v>
      </c>
      <c r="S44" s="46"/>
      <c r="T44" s="482">
        <v>3333</v>
      </c>
      <c r="U44" s="482"/>
      <c r="V44" s="482">
        <v>3333</v>
      </c>
      <c r="W44" s="53">
        <f t="shared" ref="W44:W46" si="28">U44+V44</f>
        <v>3333</v>
      </c>
      <c r="X44" s="53">
        <f t="shared" ref="X44:X46" si="29">T44+W44</f>
        <v>6666</v>
      </c>
      <c r="Y44" s="520" t="s">
        <v>704</v>
      </c>
    </row>
    <row r="45" spans="1:170">
      <c r="A45" s="240">
        <f t="shared" si="4"/>
        <v>447</v>
      </c>
      <c r="B45" s="240" t="s">
        <v>705</v>
      </c>
      <c r="C45" s="195">
        <f>20000-5000</f>
        <v>15000</v>
      </c>
      <c r="D45" s="195">
        <v>0</v>
      </c>
      <c r="E45" s="49"/>
      <c r="F45" s="49"/>
      <c r="G45" s="49"/>
      <c r="H45" s="49"/>
      <c r="I45" s="49"/>
      <c r="J45" s="49"/>
      <c r="K45" s="49">
        <f t="shared" si="27"/>
        <v>0</v>
      </c>
      <c r="L45" s="49">
        <f>E45+G45+K45</f>
        <v>0</v>
      </c>
      <c r="M45" s="46"/>
      <c r="N45" s="44"/>
      <c r="O45" s="44"/>
      <c r="P45" s="44">
        <f t="shared" si="1"/>
        <v>0</v>
      </c>
      <c r="Q45" s="265"/>
      <c r="R45" s="44">
        <f t="shared" si="6"/>
        <v>0</v>
      </c>
      <c r="S45" s="46"/>
      <c r="T45" s="482"/>
      <c r="U45" s="482"/>
      <c r="V45" s="482"/>
      <c r="W45" s="53">
        <f t="shared" si="28"/>
        <v>0</v>
      </c>
      <c r="X45" s="53">
        <f t="shared" si="29"/>
        <v>0</v>
      </c>
      <c r="Y45" s="520"/>
    </row>
    <row r="46" spans="1:170" ht="28.5">
      <c r="A46" s="240">
        <f t="shared" si="4"/>
        <v>448</v>
      </c>
      <c r="B46" s="240" t="s">
        <v>706</v>
      </c>
      <c r="C46" s="195">
        <v>0</v>
      </c>
      <c r="D46" s="195">
        <v>75000</v>
      </c>
      <c r="E46" s="49">
        <v>22539</v>
      </c>
      <c r="F46" s="49">
        <v>37000</v>
      </c>
      <c r="G46" s="49">
        <v>0</v>
      </c>
      <c r="H46" s="519" t="s">
        <v>707</v>
      </c>
      <c r="I46" s="49"/>
      <c r="J46" s="49">
        <v>20000</v>
      </c>
      <c r="K46" s="49">
        <f t="shared" si="27"/>
        <v>20000</v>
      </c>
      <c r="L46" s="49">
        <f>E46+G46+K46</f>
        <v>42539</v>
      </c>
      <c r="M46" s="46"/>
      <c r="N46" s="44"/>
      <c r="O46" s="44">
        <v>20000</v>
      </c>
      <c r="P46" s="44">
        <f t="shared" si="1"/>
        <v>20000</v>
      </c>
      <c r="Q46" s="250"/>
      <c r="R46" s="44">
        <f t="shared" si="6"/>
        <v>20000</v>
      </c>
      <c r="S46" s="46"/>
      <c r="T46" s="482">
        <v>20000</v>
      </c>
      <c r="U46" s="482"/>
      <c r="V46" s="482">
        <v>20000</v>
      </c>
      <c r="W46" s="53">
        <f t="shared" si="28"/>
        <v>20000</v>
      </c>
      <c r="X46" s="53">
        <f t="shared" si="29"/>
        <v>40000</v>
      </c>
      <c r="Y46" s="520" t="s">
        <v>708</v>
      </c>
    </row>
    <row r="47" spans="1:170">
      <c r="A47" s="526">
        <f t="shared" si="4"/>
        <v>449</v>
      </c>
      <c r="B47" s="526" t="s">
        <v>709</v>
      </c>
      <c r="C47" s="527">
        <f>SUM(C44:C46)</f>
        <v>40000</v>
      </c>
      <c r="D47" s="527">
        <v>85000</v>
      </c>
      <c r="E47" s="527">
        <f t="shared" ref="E47:K47" si="30">SUM(E44:E46)</f>
        <v>22539</v>
      </c>
      <c r="F47" s="527">
        <f t="shared" si="30"/>
        <v>40333</v>
      </c>
      <c r="G47" s="527">
        <f t="shared" si="30"/>
        <v>3333</v>
      </c>
      <c r="H47" s="527"/>
      <c r="I47" s="527">
        <f t="shared" si="30"/>
        <v>0</v>
      </c>
      <c r="J47" s="527">
        <f t="shared" si="30"/>
        <v>23333</v>
      </c>
      <c r="K47" s="527">
        <f t="shared" si="30"/>
        <v>23333</v>
      </c>
      <c r="L47" s="527">
        <f>E47+G47+K47</f>
        <v>49205</v>
      </c>
      <c r="M47" s="528"/>
      <c r="N47" s="529">
        <f t="shared" ref="N47:P47" si="31">SUM(N44:N46)</f>
        <v>0</v>
      </c>
      <c r="O47" s="529">
        <f t="shared" si="31"/>
        <v>23333</v>
      </c>
      <c r="P47" s="529">
        <f t="shared" si="31"/>
        <v>23333</v>
      </c>
      <c r="Q47" s="530"/>
      <c r="R47" s="529">
        <f t="shared" si="6"/>
        <v>23333</v>
      </c>
      <c r="S47" s="528"/>
      <c r="T47" s="531">
        <f t="shared" ref="T47:Y47" si="32">SUM(T44:T46)</f>
        <v>23333</v>
      </c>
      <c r="U47" s="531">
        <f t="shared" si="32"/>
        <v>0</v>
      </c>
      <c r="V47" s="531">
        <f t="shared" si="32"/>
        <v>23333</v>
      </c>
      <c r="W47" s="531">
        <f t="shared" si="32"/>
        <v>23333</v>
      </c>
      <c r="X47" s="531">
        <f t="shared" si="32"/>
        <v>46666</v>
      </c>
      <c r="Y47" s="532">
        <f t="shared" si="32"/>
        <v>0</v>
      </c>
    </row>
    <row r="48" spans="1:170">
      <c r="A48" s="240">
        <f t="shared" si="4"/>
        <v>450</v>
      </c>
      <c r="N48" s="196"/>
      <c r="O48" s="196"/>
      <c r="P48" s="196">
        <f t="shared" si="1"/>
        <v>0</v>
      </c>
      <c r="Q48" s="250"/>
      <c r="R48" s="196">
        <f t="shared" si="6"/>
        <v>0</v>
      </c>
      <c r="T48" s="346"/>
      <c r="U48" s="346"/>
      <c r="V48" s="346"/>
      <c r="W48" s="346"/>
      <c r="X48" s="346"/>
      <c r="Y48" s="488"/>
    </row>
    <row r="49" spans="1:25">
      <c r="A49" s="433">
        <f t="shared" si="4"/>
        <v>451</v>
      </c>
      <c r="B49" s="433" t="s">
        <v>710</v>
      </c>
      <c r="N49" s="196"/>
      <c r="O49" s="196"/>
      <c r="P49" s="196">
        <f t="shared" si="1"/>
        <v>0</v>
      </c>
      <c r="Q49" s="250"/>
      <c r="R49" s="196">
        <f t="shared" si="6"/>
        <v>0</v>
      </c>
      <c r="T49" s="346"/>
      <c r="U49" s="346"/>
      <c r="V49" s="346"/>
      <c r="W49" s="346"/>
      <c r="X49" s="346"/>
      <c r="Y49" s="488"/>
    </row>
    <row r="50" spans="1:25">
      <c r="A50" s="222">
        <f t="shared" si="4"/>
        <v>452</v>
      </c>
      <c r="B50" s="533" t="s">
        <v>711</v>
      </c>
      <c r="C50" s="195">
        <v>91381</v>
      </c>
      <c r="N50" s="196"/>
      <c r="O50" s="196"/>
      <c r="P50" s="196">
        <f t="shared" si="1"/>
        <v>0</v>
      </c>
      <c r="Q50" s="250"/>
      <c r="R50" s="196">
        <f t="shared" si="6"/>
        <v>0</v>
      </c>
      <c r="T50" s="346"/>
      <c r="U50" s="346"/>
      <c r="V50" s="346"/>
      <c r="W50" s="346"/>
      <c r="X50" s="346"/>
      <c r="Y50" s="488"/>
    </row>
    <row r="51" spans="1:25">
      <c r="A51" s="222">
        <f>A50+1</f>
        <v>453</v>
      </c>
      <c r="B51" s="533" t="s">
        <v>712</v>
      </c>
      <c r="C51" s="195">
        <v>212285</v>
      </c>
      <c r="D51" s="195">
        <v>339000</v>
      </c>
      <c r="N51" s="196"/>
      <c r="O51" s="196"/>
      <c r="P51" s="196">
        <f t="shared" si="1"/>
        <v>0</v>
      </c>
      <c r="Q51" s="250"/>
      <c r="R51" s="196">
        <f t="shared" si="6"/>
        <v>0</v>
      </c>
      <c r="T51" s="346"/>
      <c r="U51" s="346"/>
      <c r="V51" s="346"/>
      <c r="W51" s="346"/>
      <c r="X51" s="346"/>
      <c r="Y51" s="488"/>
    </row>
    <row r="52" spans="1:25" ht="19.899999999999999" customHeight="1">
      <c r="A52" s="222">
        <f>A51+1</f>
        <v>454</v>
      </c>
      <c r="B52" s="222" t="s">
        <v>455</v>
      </c>
      <c r="D52" s="195">
        <v>0</v>
      </c>
      <c r="E52" s="195">
        <f>724360-E54-E55-E56</f>
        <v>61751</v>
      </c>
      <c r="F52" s="195">
        <v>70000</v>
      </c>
      <c r="G52" s="195">
        <v>32000</v>
      </c>
      <c r="H52" s="241" t="s">
        <v>713</v>
      </c>
      <c r="I52" s="195">
        <v>10114</v>
      </c>
      <c r="J52" s="195">
        <v>45000</v>
      </c>
      <c r="K52" s="49">
        <f t="shared" ref="K52" si="33">J52</f>
        <v>45000</v>
      </c>
      <c r="L52" s="195">
        <f t="shared" ref="L52:L58" si="34">E52+G52+K52</f>
        <v>138751</v>
      </c>
      <c r="N52" s="196">
        <v>10114</v>
      </c>
      <c r="O52" s="196">
        <v>48000</v>
      </c>
      <c r="P52" s="196">
        <f t="shared" si="1"/>
        <v>58114</v>
      </c>
      <c r="Q52" s="534" t="s">
        <v>714</v>
      </c>
      <c r="R52" s="196">
        <f t="shared" si="6"/>
        <v>58114</v>
      </c>
      <c r="T52" s="482">
        <v>48000</v>
      </c>
      <c r="U52" s="482">
        <v>15000</v>
      </c>
      <c r="V52" s="482">
        <v>48000</v>
      </c>
      <c r="W52" s="53">
        <f t="shared" ref="W52:W57" si="35">U52+V52</f>
        <v>63000</v>
      </c>
      <c r="X52" s="53">
        <f t="shared" ref="X52:X57" si="36">T52+W52</f>
        <v>111000</v>
      </c>
      <c r="Y52" s="488" t="s">
        <v>715</v>
      </c>
    </row>
    <row r="53" spans="1:25">
      <c r="A53" s="535" t="s">
        <v>716</v>
      </c>
      <c r="B53" s="222" t="s">
        <v>179</v>
      </c>
      <c r="H53" s="241"/>
      <c r="K53" s="195">
        <f>I58</f>
        <v>10114</v>
      </c>
      <c r="L53" s="195">
        <f t="shared" si="34"/>
        <v>10114</v>
      </c>
      <c r="N53" s="196"/>
      <c r="O53" s="196"/>
      <c r="P53" s="196">
        <f t="shared" si="1"/>
        <v>0</v>
      </c>
      <c r="Q53" s="536"/>
      <c r="R53" s="196">
        <f t="shared" si="6"/>
        <v>0</v>
      </c>
      <c r="T53" s="482"/>
      <c r="U53" s="482"/>
      <c r="V53" s="482"/>
      <c r="W53" s="53">
        <f t="shared" si="35"/>
        <v>0</v>
      </c>
      <c r="X53" s="53">
        <f t="shared" si="36"/>
        <v>0</v>
      </c>
      <c r="Y53" s="488"/>
    </row>
    <row r="54" spans="1:25" ht="79.150000000000006" customHeight="1">
      <c r="A54" s="222">
        <f>A56+1</f>
        <v>457</v>
      </c>
      <c r="B54" s="222" t="s">
        <v>717</v>
      </c>
      <c r="D54" s="195">
        <v>0</v>
      </c>
      <c r="E54" s="195">
        <v>233672</v>
      </c>
      <c r="F54" s="195">
        <f>'[3]Salary Summary 19 for 2019-2021'!L36</f>
        <v>257950.09814213603</v>
      </c>
      <c r="G54" s="195">
        <v>257950.09814213603</v>
      </c>
      <c r="H54" s="195">
        <f>E54+F54+J54</f>
        <v>754859.03884319938</v>
      </c>
      <c r="J54" s="195">
        <f>'[3]Salary Summary 20 for 2019-2021'!P36</f>
        <v>263236.94070106337</v>
      </c>
      <c r="K54" s="49">
        <f t="shared" ref="K54:K56" si="37">J54</f>
        <v>263236.94070106337</v>
      </c>
      <c r="L54" s="195">
        <f t="shared" si="34"/>
        <v>754859.03884319938</v>
      </c>
      <c r="N54" s="196"/>
      <c r="O54" s="196">
        <f>'Salary Summary 21 for 2022-2024'!M37</f>
        <v>271529.61833933793</v>
      </c>
      <c r="P54" s="196">
        <f t="shared" si="1"/>
        <v>271529.61833933793</v>
      </c>
      <c r="Q54" s="536" t="s">
        <v>718</v>
      </c>
      <c r="R54" s="196">
        <f t="shared" si="6"/>
        <v>271529.61833933793</v>
      </c>
      <c r="T54" s="482">
        <v>284650.73611936811</v>
      </c>
      <c r="U54" s="482"/>
      <c r="V54" s="482">
        <v>294060.43252594682</v>
      </c>
      <c r="W54" s="53">
        <f t="shared" si="35"/>
        <v>294060.43252594682</v>
      </c>
      <c r="X54" s="53">
        <f t="shared" si="36"/>
        <v>578711.16864531487</v>
      </c>
      <c r="Y54" s="488" t="s">
        <v>718</v>
      </c>
    </row>
    <row r="55" spans="1:25">
      <c r="A55" s="222">
        <f>A52+1</f>
        <v>455</v>
      </c>
      <c r="B55" s="222" t="s">
        <v>719</v>
      </c>
      <c r="C55" s="195">
        <v>417933</v>
      </c>
      <c r="D55" s="195">
        <v>417933</v>
      </c>
      <c r="E55" s="195">
        <v>132290</v>
      </c>
      <c r="F55" s="195">
        <v>139311</v>
      </c>
      <c r="G55" s="195">
        <v>110000</v>
      </c>
      <c r="J55" s="195">
        <v>120000</v>
      </c>
      <c r="K55" s="49">
        <f t="shared" si="37"/>
        <v>120000</v>
      </c>
      <c r="L55" s="195">
        <f t="shared" si="34"/>
        <v>362290</v>
      </c>
      <c r="N55" s="196"/>
      <c r="O55" s="196">
        <v>125000</v>
      </c>
      <c r="P55" s="196">
        <f t="shared" si="1"/>
        <v>125000</v>
      </c>
      <c r="Q55" s="250"/>
      <c r="R55" s="196">
        <f t="shared" si="6"/>
        <v>125000</v>
      </c>
      <c r="T55" s="482">
        <v>130000</v>
      </c>
      <c r="U55" s="482"/>
      <c r="V55" s="482">
        <v>130000</v>
      </c>
      <c r="W55" s="53">
        <f t="shared" si="35"/>
        <v>130000</v>
      </c>
      <c r="X55" s="53">
        <f t="shared" si="36"/>
        <v>260000</v>
      </c>
      <c r="Y55" s="488"/>
    </row>
    <row r="56" spans="1:25">
      <c r="A56" s="222">
        <f t="shared" si="4"/>
        <v>456</v>
      </c>
      <c r="B56" s="222" t="s">
        <v>720</v>
      </c>
      <c r="C56" s="195">
        <f>'[4]Salary Summary GC Adopted'!Y31</f>
        <v>712088.5979476379</v>
      </c>
      <c r="D56" s="195">
        <v>800601.75645007158</v>
      </c>
      <c r="E56" s="195">
        <v>296647</v>
      </c>
      <c r="F56" s="195">
        <f>'[3]Salary Summary 19 for 2019-2021'!L35</f>
        <v>263669.04143536004</v>
      </c>
      <c r="G56" s="195">
        <v>263669.04143536004</v>
      </c>
      <c r="J56" s="195">
        <f>'[3]Salary Summary 20 for 2019-2021'!P35</f>
        <v>270674.34031621012</v>
      </c>
      <c r="K56" s="49">
        <f t="shared" si="37"/>
        <v>270674.34031621012</v>
      </c>
      <c r="L56" s="195">
        <f t="shared" si="34"/>
        <v>830990.38175157015</v>
      </c>
      <c r="N56" s="196"/>
      <c r="O56" s="196">
        <f>'Salary Summary 21 for 2022-2024'!M36</f>
        <v>261130.01152022142</v>
      </c>
      <c r="P56" s="196">
        <f t="shared" si="1"/>
        <v>261130.01152022142</v>
      </c>
      <c r="Q56" s="250" t="s">
        <v>721</v>
      </c>
      <c r="R56" s="196">
        <f t="shared" si="6"/>
        <v>261130.01152022142</v>
      </c>
      <c r="T56" s="482">
        <f>'[6]Salary Summary 21 for 2022-2024'!P35</f>
        <v>292344.4496526384</v>
      </c>
      <c r="U56" s="482"/>
      <c r="V56" s="482">
        <f>'[6]Salary Summary 21 for 2022-2024'!T35</f>
        <v>301760.07075458427</v>
      </c>
      <c r="W56" s="53">
        <f t="shared" si="35"/>
        <v>301760.07075458427</v>
      </c>
      <c r="X56" s="53">
        <f t="shared" si="36"/>
        <v>594104.52040722268</v>
      </c>
      <c r="Y56" s="488" t="s">
        <v>721</v>
      </c>
    </row>
    <row r="57" spans="1:25">
      <c r="A57" s="222">
        <f>A54+1</f>
        <v>458</v>
      </c>
      <c r="B57" s="537" t="s">
        <v>722</v>
      </c>
      <c r="C57" s="195">
        <v>175000</v>
      </c>
      <c r="D57" s="195">
        <v>0</v>
      </c>
      <c r="L57" s="195">
        <f t="shared" si="34"/>
        <v>0</v>
      </c>
      <c r="N57" s="196"/>
      <c r="O57" s="538" t="s">
        <v>723</v>
      </c>
      <c r="P57" s="196"/>
      <c r="Q57" s="250"/>
      <c r="R57" s="196">
        <f t="shared" si="6"/>
        <v>0</v>
      </c>
      <c r="T57" s="482"/>
      <c r="U57" s="482"/>
      <c r="V57" s="482"/>
      <c r="W57" s="53">
        <f t="shared" si="35"/>
        <v>0</v>
      </c>
      <c r="X57" s="53">
        <f t="shared" si="36"/>
        <v>0</v>
      </c>
      <c r="Y57" s="488"/>
    </row>
    <row r="58" spans="1:25" s="354" customFormat="1">
      <c r="A58" s="436">
        <f t="shared" si="4"/>
        <v>459</v>
      </c>
      <c r="B58" s="436" t="s">
        <v>724</v>
      </c>
      <c r="C58" s="415">
        <f>SUM(C50:C57)</f>
        <v>1608687.597947638</v>
      </c>
      <c r="D58" s="415">
        <v>1557534.7564500715</v>
      </c>
      <c r="E58" s="415">
        <f t="shared" ref="E58:K58" si="38">SUM(E50:E57)</f>
        <v>724360</v>
      </c>
      <c r="F58" s="415">
        <f t="shared" si="38"/>
        <v>730930.1395774961</v>
      </c>
      <c r="G58" s="415">
        <f t="shared" si="38"/>
        <v>663619.1395774961</v>
      </c>
      <c r="H58" s="415"/>
      <c r="I58" s="415">
        <f t="shared" si="38"/>
        <v>10114</v>
      </c>
      <c r="J58" s="415">
        <f t="shared" si="38"/>
        <v>698911.28101727343</v>
      </c>
      <c r="K58" s="415">
        <f t="shared" si="38"/>
        <v>709025.28101727343</v>
      </c>
      <c r="L58" s="415">
        <f t="shared" si="34"/>
        <v>2097004.4205947695</v>
      </c>
      <c r="M58" s="416"/>
      <c r="N58" s="417">
        <f t="shared" ref="N58:P58" si="39">SUM(N50:N57)</f>
        <v>10114</v>
      </c>
      <c r="O58" s="417">
        <f t="shared" si="39"/>
        <v>705659.62985955935</v>
      </c>
      <c r="P58" s="417">
        <f t="shared" si="39"/>
        <v>715773.62985955935</v>
      </c>
      <c r="Q58" s="418"/>
      <c r="R58" s="417">
        <f t="shared" si="6"/>
        <v>715773.62985955935</v>
      </c>
      <c r="S58" s="416"/>
      <c r="T58" s="443">
        <f t="shared" ref="T58:Y58" si="40">SUM(T50:T57)</f>
        <v>754995.18577200652</v>
      </c>
      <c r="U58" s="443">
        <f t="shared" si="40"/>
        <v>15000</v>
      </c>
      <c r="V58" s="443">
        <f t="shared" si="40"/>
        <v>773820.50328053115</v>
      </c>
      <c r="W58" s="443">
        <f t="shared" si="40"/>
        <v>788820.50328053115</v>
      </c>
      <c r="X58" s="443">
        <f t="shared" si="40"/>
        <v>1543815.6890525375</v>
      </c>
      <c r="Y58" s="257">
        <f t="shared" si="40"/>
        <v>0</v>
      </c>
    </row>
    <row r="59" spans="1:25">
      <c r="A59" s="222">
        <f t="shared" si="4"/>
        <v>460</v>
      </c>
      <c r="B59" s="222"/>
      <c r="N59" s="196"/>
      <c r="O59" s="196"/>
      <c r="P59" s="196">
        <f t="shared" si="1"/>
        <v>0</v>
      </c>
      <c r="Q59" s="250"/>
      <c r="R59" s="196">
        <f t="shared" si="6"/>
        <v>0</v>
      </c>
      <c r="T59" s="482"/>
      <c r="U59" s="482"/>
      <c r="V59" s="482"/>
      <c r="W59" s="482"/>
      <c r="X59" s="482"/>
      <c r="Y59" s="488"/>
    </row>
    <row r="60" spans="1:25">
      <c r="A60" s="222">
        <f t="shared" si="4"/>
        <v>461</v>
      </c>
      <c r="B60" s="433" t="s">
        <v>725</v>
      </c>
      <c r="N60" s="196"/>
      <c r="O60" s="196"/>
      <c r="P60" s="196">
        <f t="shared" si="1"/>
        <v>0</v>
      </c>
      <c r="Q60" s="250"/>
      <c r="R60" s="196">
        <f t="shared" si="6"/>
        <v>0</v>
      </c>
      <c r="T60" s="482"/>
      <c r="U60" s="482"/>
      <c r="V60" s="482"/>
      <c r="W60" s="482"/>
      <c r="X60" s="482"/>
      <c r="Y60" s="488"/>
    </row>
    <row r="61" spans="1:25">
      <c r="A61" s="222">
        <f t="shared" si="4"/>
        <v>462</v>
      </c>
      <c r="B61" s="222" t="s">
        <v>726</v>
      </c>
      <c r="C61" s="195">
        <v>108100</v>
      </c>
      <c r="D61" s="195">
        <v>270000</v>
      </c>
      <c r="F61" s="195">
        <v>90000</v>
      </c>
      <c r="G61" s="195">
        <v>70000</v>
      </c>
      <c r="J61" s="195">
        <v>90000</v>
      </c>
      <c r="K61" s="195">
        <f>J61</f>
        <v>90000</v>
      </c>
      <c r="N61" s="196"/>
      <c r="O61" s="196">
        <v>90000</v>
      </c>
      <c r="P61" s="196">
        <f t="shared" si="1"/>
        <v>90000</v>
      </c>
      <c r="Q61" s="250"/>
      <c r="R61" s="196">
        <f t="shared" si="6"/>
        <v>90000</v>
      </c>
      <c r="T61" s="482">
        <v>95000</v>
      </c>
      <c r="U61" s="482"/>
      <c r="V61" s="482">
        <v>95000</v>
      </c>
      <c r="W61" s="53">
        <f t="shared" ref="W61:W63" si="41">U61+V61</f>
        <v>95000</v>
      </c>
      <c r="X61" s="53">
        <f t="shared" ref="X61:X65" si="42">T61+W61</f>
        <v>190000</v>
      </c>
      <c r="Y61" s="488"/>
    </row>
    <row r="62" spans="1:25">
      <c r="A62" s="222">
        <f t="shared" si="4"/>
        <v>463</v>
      </c>
      <c r="B62" s="222" t="s">
        <v>727</v>
      </c>
      <c r="C62" s="195">
        <v>100000</v>
      </c>
      <c r="D62" s="195">
        <v>510000</v>
      </c>
      <c r="F62" s="195">
        <v>170000</v>
      </c>
      <c r="G62" s="195">
        <v>120000</v>
      </c>
      <c r="J62" s="195">
        <v>150000</v>
      </c>
      <c r="K62" s="195">
        <f t="shared" ref="K62:K65" si="43">J62</f>
        <v>150000</v>
      </c>
      <c r="N62" s="196"/>
      <c r="O62" s="196">
        <v>150000</v>
      </c>
      <c r="P62" s="196">
        <f t="shared" si="1"/>
        <v>150000</v>
      </c>
      <c r="Q62" s="250"/>
      <c r="R62" s="196">
        <f t="shared" si="6"/>
        <v>150000</v>
      </c>
      <c r="T62" s="482">
        <v>170000</v>
      </c>
      <c r="U62" s="482"/>
      <c r="V62" s="482">
        <v>170000</v>
      </c>
      <c r="W62" s="53">
        <f t="shared" si="41"/>
        <v>170000</v>
      </c>
      <c r="X62" s="53">
        <f t="shared" si="42"/>
        <v>340000</v>
      </c>
      <c r="Y62" s="488"/>
    </row>
    <row r="63" spans="1:25">
      <c r="A63" s="222">
        <f t="shared" si="4"/>
        <v>464</v>
      </c>
      <c r="B63" s="222" t="s">
        <v>728</v>
      </c>
      <c r="C63" s="195">
        <v>1096000</v>
      </c>
      <c r="D63" s="195">
        <v>480000</v>
      </c>
      <c r="F63" s="195">
        <v>160000</v>
      </c>
      <c r="G63" s="195">
        <v>100000</v>
      </c>
      <c r="H63" s="539" t="s">
        <v>729</v>
      </c>
      <c r="J63" s="195">
        <v>160000</v>
      </c>
      <c r="K63" s="195">
        <f t="shared" si="43"/>
        <v>160000</v>
      </c>
      <c r="N63" s="196"/>
      <c r="O63" s="196">
        <v>160000</v>
      </c>
      <c r="P63" s="196">
        <f t="shared" si="1"/>
        <v>160000</v>
      </c>
      <c r="Q63" s="250"/>
      <c r="R63" s="196">
        <f t="shared" si="6"/>
        <v>160000</v>
      </c>
      <c r="T63" s="482">
        <v>160000</v>
      </c>
      <c r="U63" s="482"/>
      <c r="V63" s="482">
        <v>160000</v>
      </c>
      <c r="W63" s="53">
        <f t="shared" si="41"/>
        <v>160000</v>
      </c>
      <c r="X63" s="53">
        <f t="shared" si="42"/>
        <v>320000</v>
      </c>
      <c r="Y63" s="488"/>
    </row>
    <row r="64" spans="1:25" ht="57">
      <c r="A64" s="222">
        <f t="shared" si="4"/>
        <v>465</v>
      </c>
      <c r="B64" s="222" t="s">
        <v>432</v>
      </c>
      <c r="C64" s="195">
        <v>156841</v>
      </c>
      <c r="D64" s="195">
        <v>260000</v>
      </c>
      <c r="F64" s="195">
        <v>86667</v>
      </c>
      <c r="G64" s="195">
        <v>35000</v>
      </c>
      <c r="I64" s="195">
        <v>25000</v>
      </c>
      <c r="J64" s="195">
        <v>70000</v>
      </c>
      <c r="K64" s="195">
        <f t="shared" si="43"/>
        <v>70000</v>
      </c>
      <c r="N64" s="196">
        <v>25000</v>
      </c>
      <c r="O64" s="196">
        <v>45000</v>
      </c>
      <c r="P64" s="196">
        <f t="shared" si="1"/>
        <v>70000</v>
      </c>
      <c r="Q64" s="250"/>
      <c r="R64" s="196">
        <f t="shared" si="6"/>
        <v>70000</v>
      </c>
      <c r="T64" s="482">
        <v>87000</v>
      </c>
      <c r="U64" s="482">
        <v>25000</v>
      </c>
      <c r="V64" s="482">
        <v>65000</v>
      </c>
      <c r="W64" s="53">
        <v>87000</v>
      </c>
      <c r="X64" s="53">
        <f t="shared" si="42"/>
        <v>174000</v>
      </c>
      <c r="Y64" s="488" t="s">
        <v>730</v>
      </c>
    </row>
    <row r="65" spans="1:25">
      <c r="A65" s="222">
        <f t="shared" si="4"/>
        <v>466</v>
      </c>
      <c r="B65" s="222" t="s">
        <v>181</v>
      </c>
      <c r="C65" s="195">
        <f>'[4]Salary Summary GC Adopted'!Y28</f>
        <v>3452871.390151999</v>
      </c>
      <c r="D65" s="195">
        <v>3557899.5863123713</v>
      </c>
      <c r="F65" s="195">
        <v>1158444</v>
      </c>
      <c r="G65" s="195">
        <v>887333</v>
      </c>
      <c r="J65" s="195">
        <v>1000000</v>
      </c>
      <c r="K65" s="195">
        <f t="shared" si="43"/>
        <v>1000000</v>
      </c>
      <c r="N65" s="196"/>
      <c r="O65" s="196">
        <f>'Salary Summary 21 for 2022-2024'!M31</f>
        <v>1322089.656606118</v>
      </c>
      <c r="P65" s="196">
        <f t="shared" si="1"/>
        <v>1322089.656606118</v>
      </c>
      <c r="Q65" s="265"/>
      <c r="R65" s="196">
        <f t="shared" si="6"/>
        <v>1322089.656606118</v>
      </c>
      <c r="T65" s="482">
        <f>'Salary Summary 21 for 2022-2024'!Q31</f>
        <v>1320968.0854528472</v>
      </c>
      <c r="U65" s="482"/>
      <c r="V65" s="482">
        <f>'Salary Summary 21 for 2022-2024'!U31</f>
        <v>1365938.0213887789</v>
      </c>
      <c r="W65" s="53">
        <f t="shared" ref="W65" si="44">U65+V65</f>
        <v>1365938.0213887789</v>
      </c>
      <c r="X65" s="53">
        <f t="shared" si="42"/>
        <v>2686906.1068416261</v>
      </c>
      <c r="Y65" s="488"/>
    </row>
    <row r="66" spans="1:25">
      <c r="A66" s="222" t="s">
        <v>185</v>
      </c>
      <c r="B66" s="222" t="s">
        <v>186</v>
      </c>
      <c r="K66" s="195">
        <f>I68</f>
        <v>25000</v>
      </c>
      <c r="N66" s="196"/>
      <c r="O66" s="196"/>
      <c r="P66" s="196">
        <f t="shared" si="1"/>
        <v>0</v>
      </c>
      <c r="Q66" s="265"/>
      <c r="R66" s="196">
        <f t="shared" si="6"/>
        <v>0</v>
      </c>
      <c r="T66" s="482"/>
      <c r="U66" s="482"/>
      <c r="V66" s="482"/>
      <c r="W66" s="482"/>
      <c r="X66" s="482"/>
      <c r="Y66" s="488"/>
    </row>
    <row r="67" spans="1:25" ht="28.5">
      <c r="A67" s="222">
        <f>A65+1</f>
        <v>467</v>
      </c>
      <c r="B67" s="222" t="s">
        <v>731</v>
      </c>
      <c r="C67" s="195">
        <v>-337000</v>
      </c>
      <c r="D67" s="195">
        <v>-337000</v>
      </c>
      <c r="F67" s="195">
        <v>-112333</v>
      </c>
      <c r="G67" s="195">
        <v>-112333</v>
      </c>
      <c r="J67" s="195">
        <v>-112333</v>
      </c>
      <c r="K67" s="195">
        <f>J67</f>
        <v>-112333</v>
      </c>
      <c r="N67" s="196"/>
      <c r="O67" s="196"/>
      <c r="P67" s="196">
        <f t="shared" si="1"/>
        <v>0</v>
      </c>
      <c r="Q67" s="250"/>
      <c r="R67" s="196">
        <f t="shared" si="6"/>
        <v>0</v>
      </c>
      <c r="T67" s="482">
        <v>-60000</v>
      </c>
      <c r="U67" s="482"/>
      <c r="V67" s="482">
        <v>-60000</v>
      </c>
      <c r="W67" s="53">
        <f t="shared" ref="W67" si="45">U67+V67</f>
        <v>-60000</v>
      </c>
      <c r="X67" s="53">
        <f t="shared" ref="X67" si="46">T67+W67</f>
        <v>-120000</v>
      </c>
      <c r="Y67" s="520" t="s">
        <v>732</v>
      </c>
    </row>
    <row r="68" spans="1:25" s="354" customFormat="1" ht="28.5">
      <c r="A68" s="436">
        <f t="shared" si="4"/>
        <v>468</v>
      </c>
      <c r="B68" s="436" t="s">
        <v>733</v>
      </c>
      <c r="C68" s="415">
        <f>SUM(C61:C67)</f>
        <v>4576812.390151999</v>
      </c>
      <c r="D68" s="415">
        <v>4740899.5863123713</v>
      </c>
      <c r="E68" s="415">
        <v>1289416</v>
      </c>
      <c r="F68" s="415">
        <f t="shared" ref="F68:K68" si="47">SUM(F61:F67)</f>
        <v>1552778</v>
      </c>
      <c r="G68" s="415">
        <f>SUM(G61:G67)</f>
        <v>1100000</v>
      </c>
      <c r="H68" s="540" t="s">
        <v>734</v>
      </c>
      <c r="I68" s="415">
        <f t="shared" si="47"/>
        <v>25000</v>
      </c>
      <c r="J68" s="415">
        <f t="shared" si="47"/>
        <v>1357667</v>
      </c>
      <c r="K68" s="415">
        <f t="shared" si="47"/>
        <v>1382667</v>
      </c>
      <c r="L68" s="415">
        <f>E68+G68+K68</f>
        <v>3772083</v>
      </c>
      <c r="M68" s="416"/>
      <c r="N68" s="417">
        <f t="shared" ref="N68:P68" si="48">SUM(N61:N67)</f>
        <v>25000</v>
      </c>
      <c r="O68" s="417">
        <f t="shared" si="48"/>
        <v>1767089.656606118</v>
      </c>
      <c r="P68" s="417">
        <f t="shared" si="48"/>
        <v>1792089.656606118</v>
      </c>
      <c r="Q68" s="428"/>
      <c r="R68" s="417">
        <f t="shared" si="6"/>
        <v>1792089.656606118</v>
      </c>
      <c r="S68" s="416"/>
      <c r="T68" s="443">
        <f t="shared" ref="T68:Y68" si="49">SUM(T61:T67)</f>
        <v>1772968.0854528472</v>
      </c>
      <c r="U68" s="443">
        <f t="shared" si="49"/>
        <v>25000</v>
      </c>
      <c r="V68" s="443">
        <f t="shared" si="49"/>
        <v>1795938.0213887789</v>
      </c>
      <c r="W68" s="443">
        <f t="shared" si="49"/>
        <v>1817938.0213887789</v>
      </c>
      <c r="X68" s="443">
        <f t="shared" si="49"/>
        <v>3590906.1068416261</v>
      </c>
      <c r="Y68" s="257">
        <f t="shared" si="49"/>
        <v>0</v>
      </c>
    </row>
    <row r="69" spans="1:25">
      <c r="A69" s="240">
        <f t="shared" si="4"/>
        <v>469</v>
      </c>
      <c r="N69" s="196"/>
      <c r="O69" s="196"/>
      <c r="P69" s="196">
        <f t="shared" si="1"/>
        <v>0</v>
      </c>
      <c r="Q69" s="250"/>
      <c r="R69" s="196">
        <f t="shared" si="6"/>
        <v>0</v>
      </c>
      <c r="T69" s="482"/>
      <c r="U69" s="482"/>
      <c r="V69" s="482"/>
      <c r="W69" s="482"/>
      <c r="X69" s="482"/>
      <c r="Y69" s="488"/>
    </row>
    <row r="70" spans="1:25" ht="22.5" customHeight="1">
      <c r="A70" s="236">
        <f t="shared" si="4"/>
        <v>470</v>
      </c>
      <c r="B70" s="236" t="s">
        <v>735</v>
      </c>
      <c r="C70" s="50">
        <v>727000</v>
      </c>
      <c r="D70" s="50">
        <v>0</v>
      </c>
      <c r="E70" s="50">
        <v>319221</v>
      </c>
      <c r="F70" s="50"/>
      <c r="G70" s="50"/>
      <c r="H70" s="50"/>
      <c r="I70" s="50"/>
      <c r="J70" s="50"/>
      <c r="K70" s="50"/>
      <c r="L70" s="50">
        <f t="shared" ref="L70:L78" si="50">E70+G70+K70</f>
        <v>319221</v>
      </c>
      <c r="M70" s="237"/>
      <c r="N70" s="59"/>
      <c r="O70" s="59"/>
      <c r="P70" s="59">
        <f t="shared" si="1"/>
        <v>0</v>
      </c>
      <c r="Q70" s="541"/>
      <c r="R70" s="59">
        <f t="shared" si="6"/>
        <v>0</v>
      </c>
      <c r="S70" s="237"/>
      <c r="T70" s="482"/>
      <c r="U70" s="482"/>
      <c r="V70" s="482"/>
      <c r="W70" s="482"/>
      <c r="X70" s="482"/>
      <c r="Y70" s="488"/>
    </row>
    <row r="71" spans="1:25" ht="33.950000000000003" customHeight="1">
      <c r="A71" s="240">
        <f t="shared" si="4"/>
        <v>471</v>
      </c>
      <c r="B71" s="240" t="s">
        <v>736</v>
      </c>
      <c r="C71" s="50"/>
      <c r="D71" s="50">
        <v>405000</v>
      </c>
      <c r="E71" s="50"/>
      <c r="F71" s="50">
        <v>105000</v>
      </c>
      <c r="G71" s="50">
        <v>90000</v>
      </c>
      <c r="H71" s="445" t="s">
        <v>737</v>
      </c>
      <c r="I71" s="50">
        <v>5000</v>
      </c>
      <c r="J71" s="50">
        <v>100000</v>
      </c>
      <c r="K71" s="50">
        <f>J71</f>
        <v>100000</v>
      </c>
      <c r="L71" s="50">
        <f t="shared" si="50"/>
        <v>190000</v>
      </c>
      <c r="M71" s="237"/>
      <c r="N71" s="59">
        <v>5000</v>
      </c>
      <c r="O71" s="59">
        <v>135000</v>
      </c>
      <c r="P71" s="59">
        <f t="shared" ref="P71:P112" si="51">N71+O71</f>
        <v>140000</v>
      </c>
      <c r="Q71" s="250"/>
      <c r="R71" s="59">
        <f t="shared" si="6"/>
        <v>140000</v>
      </c>
      <c r="S71" s="237"/>
      <c r="T71" s="109">
        <v>150000</v>
      </c>
      <c r="U71" s="109">
        <v>5000</v>
      </c>
      <c r="V71" s="109">
        <v>155000</v>
      </c>
      <c r="W71" s="53">
        <f t="shared" ref="W71:W77" si="52">U71+V71</f>
        <v>160000</v>
      </c>
      <c r="X71" s="53">
        <f t="shared" ref="X71:X77" si="53">T71+W71</f>
        <v>310000</v>
      </c>
      <c r="Y71" s="488"/>
    </row>
    <row r="72" spans="1:25">
      <c r="A72" s="240">
        <f t="shared" ref="A72:A75" si="54">A71+1</f>
        <v>472</v>
      </c>
      <c r="B72" s="240" t="s">
        <v>463</v>
      </c>
      <c r="C72" s="50"/>
      <c r="D72" s="50">
        <v>295000</v>
      </c>
      <c r="E72" s="50"/>
      <c r="F72" s="50">
        <v>98000</v>
      </c>
      <c r="G72" s="50">
        <v>98000</v>
      </c>
      <c r="H72" s="445" t="s">
        <v>738</v>
      </c>
      <c r="I72" s="50"/>
      <c r="J72" s="50">
        <v>100000</v>
      </c>
      <c r="K72" s="50">
        <f t="shared" ref="K72:K75" si="55">J72</f>
        <v>100000</v>
      </c>
      <c r="L72" s="50">
        <f t="shared" si="50"/>
        <v>198000</v>
      </c>
      <c r="M72" s="237"/>
      <c r="N72" s="59"/>
      <c r="O72" s="59">
        <v>100000</v>
      </c>
      <c r="P72" s="59">
        <f t="shared" si="51"/>
        <v>100000</v>
      </c>
      <c r="Q72" s="250"/>
      <c r="R72" s="59">
        <f t="shared" ref="R72:R113" si="56">P72</f>
        <v>100000</v>
      </c>
      <c r="S72" s="237"/>
      <c r="T72" s="109">
        <v>100000</v>
      </c>
      <c r="U72" s="109"/>
      <c r="V72" s="109">
        <v>105000</v>
      </c>
      <c r="W72" s="53">
        <f t="shared" si="52"/>
        <v>105000</v>
      </c>
      <c r="X72" s="53">
        <f t="shared" si="53"/>
        <v>205000</v>
      </c>
      <c r="Y72" s="488"/>
    </row>
    <row r="73" spans="1:25" ht="34.9" customHeight="1">
      <c r="A73" s="240">
        <f t="shared" si="54"/>
        <v>473</v>
      </c>
      <c r="B73" s="240" t="s">
        <v>739</v>
      </c>
      <c r="C73" s="50"/>
      <c r="D73" s="50">
        <v>30000</v>
      </c>
      <c r="E73" s="50"/>
      <c r="F73" s="50">
        <v>23000</v>
      </c>
      <c r="G73" s="50">
        <v>23000</v>
      </c>
      <c r="H73" s="445" t="s">
        <v>740</v>
      </c>
      <c r="I73" s="50"/>
      <c r="J73" s="50">
        <v>24000</v>
      </c>
      <c r="K73" s="50">
        <f t="shared" si="55"/>
        <v>24000</v>
      </c>
      <c r="L73" s="50">
        <f t="shared" si="50"/>
        <v>47000</v>
      </c>
      <c r="M73" s="237"/>
      <c r="N73" s="59"/>
      <c r="O73" s="59">
        <v>30000</v>
      </c>
      <c r="P73" s="59">
        <f t="shared" si="51"/>
        <v>30000</v>
      </c>
      <c r="Q73" s="250"/>
      <c r="R73" s="59">
        <f t="shared" si="56"/>
        <v>30000</v>
      </c>
      <c r="S73" s="237"/>
      <c r="T73" s="109">
        <v>40000</v>
      </c>
      <c r="U73" s="109"/>
      <c r="V73" s="109">
        <v>42000</v>
      </c>
      <c r="W73" s="53">
        <f t="shared" si="52"/>
        <v>42000</v>
      </c>
      <c r="X73" s="53">
        <f t="shared" si="53"/>
        <v>82000</v>
      </c>
      <c r="Y73" s="488"/>
    </row>
    <row r="74" spans="1:25">
      <c r="A74" s="240">
        <f t="shared" si="54"/>
        <v>474</v>
      </c>
      <c r="B74" s="240" t="s">
        <v>741</v>
      </c>
      <c r="C74" s="50"/>
      <c r="D74" s="50">
        <v>21000</v>
      </c>
      <c r="E74" s="50"/>
      <c r="F74" s="50">
        <v>5000</v>
      </c>
      <c r="G74" s="50">
        <v>5000</v>
      </c>
      <c r="H74" s="445" t="s">
        <v>742</v>
      </c>
      <c r="I74" s="50"/>
      <c r="J74" s="50">
        <v>5000</v>
      </c>
      <c r="K74" s="50">
        <f t="shared" si="55"/>
        <v>5000</v>
      </c>
      <c r="L74" s="50">
        <f t="shared" si="50"/>
        <v>10000</v>
      </c>
      <c r="M74" s="237"/>
      <c r="N74" s="59"/>
      <c r="O74" s="59">
        <v>5000</v>
      </c>
      <c r="P74" s="59">
        <f t="shared" si="51"/>
        <v>5000</v>
      </c>
      <c r="Q74" s="394"/>
      <c r="R74" s="59">
        <f t="shared" si="56"/>
        <v>5000</v>
      </c>
      <c r="S74" s="237"/>
      <c r="T74" s="109">
        <v>15000</v>
      </c>
      <c r="U74" s="109"/>
      <c r="V74" s="109">
        <v>15000</v>
      </c>
      <c r="W74" s="53">
        <f t="shared" si="52"/>
        <v>15000</v>
      </c>
      <c r="X74" s="53">
        <f t="shared" si="53"/>
        <v>30000</v>
      </c>
      <c r="Y74" s="488" t="s">
        <v>743</v>
      </c>
    </row>
    <row r="75" spans="1:25" ht="34.9" customHeight="1">
      <c r="A75" s="240">
        <f t="shared" si="54"/>
        <v>475</v>
      </c>
      <c r="B75" s="240" t="s">
        <v>428</v>
      </c>
      <c r="C75" s="50"/>
      <c r="D75" s="50">
        <v>140000</v>
      </c>
      <c r="E75" s="56"/>
      <c r="F75" s="50">
        <v>45000</v>
      </c>
      <c r="G75" s="50">
        <v>15000</v>
      </c>
      <c r="H75" s="445" t="s">
        <v>744</v>
      </c>
      <c r="I75" s="50">
        <v>12000</v>
      </c>
      <c r="J75" s="50">
        <v>20000</v>
      </c>
      <c r="K75" s="50">
        <f t="shared" si="55"/>
        <v>20000</v>
      </c>
      <c r="L75" s="50">
        <f t="shared" si="50"/>
        <v>35000</v>
      </c>
      <c r="M75" s="237"/>
      <c r="N75" s="59">
        <v>12000</v>
      </c>
      <c r="O75" s="59">
        <v>30000</v>
      </c>
      <c r="P75" s="59">
        <f t="shared" si="51"/>
        <v>42000</v>
      </c>
      <c r="Q75" s="394"/>
      <c r="R75" s="59">
        <f t="shared" si="56"/>
        <v>42000</v>
      </c>
      <c r="S75" s="237"/>
      <c r="T75" s="109">
        <v>45000</v>
      </c>
      <c r="U75" s="109">
        <v>15000</v>
      </c>
      <c r="V75" s="109">
        <v>45000</v>
      </c>
      <c r="W75" s="53">
        <f t="shared" si="52"/>
        <v>60000</v>
      </c>
      <c r="X75" s="53">
        <f t="shared" si="53"/>
        <v>105000</v>
      </c>
      <c r="Y75" s="488"/>
    </row>
    <row r="76" spans="1:25" ht="34.9" customHeight="1">
      <c r="A76" s="522" t="s">
        <v>745</v>
      </c>
      <c r="B76" s="240" t="s">
        <v>179</v>
      </c>
      <c r="C76" s="50"/>
      <c r="D76" s="50"/>
      <c r="E76" s="56"/>
      <c r="F76" s="50"/>
      <c r="G76" s="50"/>
      <c r="H76" s="445"/>
      <c r="I76" s="50"/>
      <c r="J76" s="50"/>
      <c r="K76" s="50">
        <f>I78</f>
        <v>17000</v>
      </c>
      <c r="L76" s="50">
        <f t="shared" si="50"/>
        <v>17000</v>
      </c>
      <c r="M76" s="237"/>
      <c r="N76" s="59"/>
      <c r="O76" s="59"/>
      <c r="P76" s="59">
        <f t="shared" si="51"/>
        <v>0</v>
      </c>
      <c r="Q76" s="394"/>
      <c r="R76" s="59">
        <f t="shared" si="56"/>
        <v>0</v>
      </c>
      <c r="S76" s="237"/>
      <c r="T76" s="482"/>
      <c r="U76" s="482"/>
      <c r="V76" s="482"/>
      <c r="W76" s="53">
        <f t="shared" si="52"/>
        <v>0</v>
      </c>
      <c r="X76" s="53">
        <f t="shared" si="53"/>
        <v>0</v>
      </c>
      <c r="Y76" s="488"/>
    </row>
    <row r="77" spans="1:25">
      <c r="A77" s="240">
        <f>A75+1</f>
        <v>476</v>
      </c>
      <c r="B77" s="240" t="s">
        <v>181</v>
      </c>
      <c r="C77" s="50">
        <f>'[4]Salary Summary GC Adopted'!Y6</f>
        <v>3095748.7296600337</v>
      </c>
      <c r="D77" s="240">
        <v>1654288.4395884615</v>
      </c>
      <c r="E77" s="240">
        <v>524108</v>
      </c>
      <c r="F77" s="240">
        <f>'[3]Salary Summary 19 for 2019-2021'!L31</f>
        <v>633314.5782314688</v>
      </c>
      <c r="G77" s="240">
        <v>633314.5782314688</v>
      </c>
      <c r="H77" s="240" t="s">
        <v>746</v>
      </c>
      <c r="I77" s="240"/>
      <c r="J77" s="240">
        <f>'[3]Salary Summary 20 for 2019-2021'!P31</f>
        <v>656426.9206765946</v>
      </c>
      <c r="K77" s="240">
        <f>J77</f>
        <v>656426.9206765946</v>
      </c>
      <c r="L77" s="50">
        <f t="shared" si="50"/>
        <v>1813849.4989080634</v>
      </c>
      <c r="M77" s="237"/>
      <c r="N77" s="283"/>
      <c r="O77" s="283">
        <f>'Salary Summary 21 for 2022-2024'!M32</f>
        <v>691336.62789510423</v>
      </c>
      <c r="P77" s="283">
        <f t="shared" si="51"/>
        <v>691336.62789510423</v>
      </c>
      <c r="Q77" s="265"/>
      <c r="R77" s="283">
        <f t="shared" si="56"/>
        <v>691336.62789510423</v>
      </c>
      <c r="S77" s="476"/>
      <c r="T77" s="482">
        <f>'Salary Summary 21 for 2022-2024'!Q32</f>
        <v>713819.8075264896</v>
      </c>
      <c r="U77" s="482"/>
      <c r="V77" s="482">
        <f>'Salary Summary 21 for 2022-2024'!U32</f>
        <v>736694.97480027773</v>
      </c>
      <c r="W77" s="53">
        <f t="shared" si="52"/>
        <v>736694.97480027773</v>
      </c>
      <c r="X77" s="53">
        <f t="shared" si="53"/>
        <v>1450514.7823267672</v>
      </c>
      <c r="Y77" s="488"/>
    </row>
    <row r="78" spans="1:25" s="354" customFormat="1">
      <c r="A78" s="269">
        <f t="shared" ref="A78:A113" si="57">A77+1</f>
        <v>477</v>
      </c>
      <c r="B78" s="269" t="s">
        <v>747</v>
      </c>
      <c r="C78" s="415">
        <f>SUM(C70:C77)</f>
        <v>3822748.7296600337</v>
      </c>
      <c r="D78" s="415">
        <v>2545288.4395884615</v>
      </c>
      <c r="E78" s="415">
        <f t="shared" ref="E78:G78" si="58">SUM(E70:E77)</f>
        <v>843329</v>
      </c>
      <c r="F78" s="415">
        <f t="shared" si="58"/>
        <v>909314.5782314688</v>
      </c>
      <c r="G78" s="415">
        <f t="shared" si="58"/>
        <v>864314.5782314688</v>
      </c>
      <c r="H78" s="415"/>
      <c r="I78" s="415">
        <f t="shared" ref="I78:K78" si="59">SUM(I70:I77)</f>
        <v>17000</v>
      </c>
      <c r="J78" s="415">
        <f t="shared" si="59"/>
        <v>905426.9206765946</v>
      </c>
      <c r="K78" s="415">
        <f t="shared" si="59"/>
        <v>922426.9206765946</v>
      </c>
      <c r="L78" s="415">
        <f t="shared" si="50"/>
        <v>2630070.4989080634</v>
      </c>
      <c r="M78" s="416"/>
      <c r="N78" s="417">
        <f t="shared" ref="N78:P78" si="60">SUM(N70:N77)</f>
        <v>17000</v>
      </c>
      <c r="O78" s="417">
        <f t="shared" si="60"/>
        <v>991336.62789510423</v>
      </c>
      <c r="P78" s="417">
        <f t="shared" si="60"/>
        <v>1008336.6278951042</v>
      </c>
      <c r="Q78" s="418"/>
      <c r="R78" s="417">
        <f t="shared" si="56"/>
        <v>1008336.6278951042</v>
      </c>
      <c r="S78" s="416"/>
      <c r="T78" s="443">
        <f t="shared" ref="T78:Y78" si="61">SUM(T70:T77)</f>
        <v>1063819.8075264897</v>
      </c>
      <c r="U78" s="443">
        <f t="shared" si="61"/>
        <v>20000</v>
      </c>
      <c r="V78" s="443">
        <f t="shared" si="61"/>
        <v>1098694.9748002777</v>
      </c>
      <c r="W78" s="443">
        <f t="shared" si="61"/>
        <v>1118694.9748002777</v>
      </c>
      <c r="X78" s="443">
        <f t="shared" si="61"/>
        <v>2182514.7823267672</v>
      </c>
      <c r="Y78" s="257">
        <f t="shared" si="61"/>
        <v>0</v>
      </c>
    </row>
    <row r="79" spans="1:25">
      <c r="A79" s="240">
        <f t="shared" si="57"/>
        <v>478</v>
      </c>
      <c r="D79" s="195">
        <v>0</v>
      </c>
      <c r="N79" s="196"/>
      <c r="O79" s="196"/>
      <c r="P79" s="196">
        <f t="shared" si="51"/>
        <v>0</v>
      </c>
      <c r="Q79" s="250"/>
      <c r="R79" s="196">
        <f t="shared" si="56"/>
        <v>0</v>
      </c>
      <c r="T79" s="482"/>
      <c r="U79" s="482"/>
      <c r="V79" s="482"/>
      <c r="W79" s="482"/>
      <c r="X79" s="482"/>
      <c r="Y79" s="488"/>
    </row>
    <row r="80" spans="1:25" ht="28.5" customHeight="1">
      <c r="A80" s="240">
        <f t="shared" si="57"/>
        <v>479</v>
      </c>
      <c r="B80" s="236" t="s">
        <v>748</v>
      </c>
      <c r="D80" s="195">
        <v>0</v>
      </c>
      <c r="N80" s="196"/>
      <c r="O80" s="196"/>
      <c r="P80" s="196">
        <f t="shared" si="51"/>
        <v>0</v>
      </c>
      <c r="Q80" s="250"/>
      <c r="R80" s="196">
        <f t="shared" si="56"/>
        <v>0</v>
      </c>
      <c r="T80" s="482"/>
      <c r="U80" s="482"/>
      <c r="V80" s="482"/>
      <c r="W80" s="482"/>
      <c r="X80" s="482"/>
      <c r="Y80" s="488"/>
    </row>
    <row r="81" spans="1:25" ht="52.9" customHeight="1">
      <c r="A81" s="240">
        <f t="shared" si="57"/>
        <v>480</v>
      </c>
      <c r="B81" s="194" t="s">
        <v>749</v>
      </c>
      <c r="C81" s="195">
        <f>120000-40000</f>
        <v>80000</v>
      </c>
      <c r="D81" s="195">
        <v>150000</v>
      </c>
      <c r="E81" s="49">
        <v>50113</v>
      </c>
      <c r="F81" s="49">
        <v>50000</v>
      </c>
      <c r="G81" s="49">
        <v>30000</v>
      </c>
      <c r="H81" s="50" t="s">
        <v>750</v>
      </c>
      <c r="I81" s="49"/>
      <c r="J81" s="49">
        <v>50000</v>
      </c>
      <c r="K81" s="49">
        <f>J81</f>
        <v>50000</v>
      </c>
      <c r="L81" s="49">
        <f t="shared" ref="L81:L113" si="62">E81+G81+K81</f>
        <v>130113</v>
      </c>
      <c r="M81" s="46"/>
      <c r="N81" s="44"/>
      <c r="O81" s="44">
        <v>50000</v>
      </c>
      <c r="P81" s="44">
        <f t="shared" si="51"/>
        <v>50000</v>
      </c>
      <c r="Q81" s="250" t="s">
        <v>751</v>
      </c>
      <c r="R81" s="44">
        <f t="shared" si="56"/>
        <v>50000</v>
      </c>
      <c r="S81" s="46"/>
      <c r="T81" s="482">
        <v>50000</v>
      </c>
      <c r="U81" s="482"/>
      <c r="V81" s="482">
        <v>50000</v>
      </c>
      <c r="W81" s="53">
        <f t="shared" ref="W81:W82" si="63">U81+V81</f>
        <v>50000</v>
      </c>
      <c r="X81" s="53">
        <f t="shared" ref="X81:X82" si="64">T81+W81</f>
        <v>100000</v>
      </c>
      <c r="Y81" s="488" t="s">
        <v>751</v>
      </c>
    </row>
    <row r="82" spans="1:25" ht="28.5">
      <c r="A82" s="240">
        <f t="shared" si="57"/>
        <v>481</v>
      </c>
      <c r="B82" s="240" t="s">
        <v>752</v>
      </c>
      <c r="C82" s="195">
        <f>60300-20000</f>
        <v>40300</v>
      </c>
      <c r="D82" s="195">
        <v>30000</v>
      </c>
      <c r="E82" s="49">
        <v>11883</v>
      </c>
      <c r="F82" s="49">
        <v>10000</v>
      </c>
      <c r="G82" s="49">
        <v>10000</v>
      </c>
      <c r="H82" s="50" t="s">
        <v>753</v>
      </c>
      <c r="I82" s="49"/>
      <c r="J82" s="49">
        <v>10000</v>
      </c>
      <c r="K82" s="49">
        <f t="shared" ref="K82:K91" si="65">J82</f>
        <v>10000</v>
      </c>
      <c r="L82" s="49">
        <f t="shared" si="62"/>
        <v>31883</v>
      </c>
      <c r="M82" s="46"/>
      <c r="N82" s="44"/>
      <c r="O82" s="44"/>
      <c r="P82" s="44">
        <f t="shared" si="51"/>
        <v>0</v>
      </c>
      <c r="Q82" s="250"/>
      <c r="R82" s="44">
        <f t="shared" si="56"/>
        <v>0</v>
      </c>
      <c r="S82" s="46"/>
      <c r="T82" s="482">
        <v>10000</v>
      </c>
      <c r="U82" s="482">
        <v>4000</v>
      </c>
      <c r="V82" s="482">
        <v>10000</v>
      </c>
      <c r="W82" s="53">
        <f t="shared" si="63"/>
        <v>14000</v>
      </c>
      <c r="X82" s="53">
        <f t="shared" si="64"/>
        <v>24000</v>
      </c>
      <c r="Y82" s="488" t="s">
        <v>754</v>
      </c>
    </row>
    <row r="83" spans="1:25">
      <c r="A83" s="240">
        <f t="shared" si="57"/>
        <v>482</v>
      </c>
      <c r="B83" s="240" t="s">
        <v>755</v>
      </c>
      <c r="C83" s="195">
        <f>65000-10000</f>
        <v>55000</v>
      </c>
      <c r="D83" s="195">
        <v>55000</v>
      </c>
      <c r="E83" s="49">
        <v>11165</v>
      </c>
      <c r="F83" s="49">
        <v>18333</v>
      </c>
      <c r="G83" s="49">
        <v>9438</v>
      </c>
      <c r="H83" s="49" t="s">
        <v>756</v>
      </c>
      <c r="I83" s="49"/>
      <c r="J83" s="49">
        <v>14000</v>
      </c>
      <c r="K83" s="49">
        <f t="shared" si="65"/>
        <v>14000</v>
      </c>
      <c r="L83" s="49">
        <f t="shared" si="62"/>
        <v>34603</v>
      </c>
      <c r="M83" s="46"/>
      <c r="N83" s="44"/>
      <c r="O83" s="44">
        <v>14000</v>
      </c>
      <c r="P83" s="44">
        <f t="shared" si="51"/>
        <v>14000</v>
      </c>
      <c r="Q83" s="250"/>
      <c r="R83" s="44">
        <f t="shared" si="56"/>
        <v>14000</v>
      </c>
      <c r="S83" s="46"/>
      <c r="T83" s="482">
        <v>14000</v>
      </c>
      <c r="U83" s="482">
        <v>2000</v>
      </c>
      <c r="V83" s="482">
        <v>14000</v>
      </c>
      <c r="W83" s="53">
        <v>16000</v>
      </c>
      <c r="X83" s="53">
        <v>30000</v>
      </c>
      <c r="Y83" s="488"/>
    </row>
    <row r="84" spans="1:25">
      <c r="A84" s="240">
        <f t="shared" si="57"/>
        <v>483</v>
      </c>
      <c r="B84" s="240" t="s">
        <v>757</v>
      </c>
      <c r="C84" s="195">
        <v>30000</v>
      </c>
      <c r="D84" s="195">
        <v>30000</v>
      </c>
      <c r="E84" s="49"/>
      <c r="F84" s="49">
        <v>10000</v>
      </c>
      <c r="G84" s="49">
        <v>4463</v>
      </c>
      <c r="H84" s="49"/>
      <c r="I84" s="49"/>
      <c r="J84" s="49">
        <v>8000</v>
      </c>
      <c r="K84" s="49">
        <f t="shared" si="65"/>
        <v>8000</v>
      </c>
      <c r="L84" s="49">
        <f t="shared" si="62"/>
        <v>12463</v>
      </c>
      <c r="M84" s="46"/>
      <c r="N84" s="44"/>
      <c r="O84" s="44">
        <v>8000</v>
      </c>
      <c r="P84" s="44">
        <f t="shared" si="51"/>
        <v>8000</v>
      </c>
      <c r="Q84" s="250"/>
      <c r="R84" s="44">
        <f t="shared" si="56"/>
        <v>8000</v>
      </c>
      <c r="S84" s="46"/>
      <c r="T84" s="482">
        <v>8000</v>
      </c>
      <c r="U84" s="482"/>
      <c r="V84" s="482">
        <v>8000</v>
      </c>
      <c r="W84" s="53">
        <f t="shared" ref="W84:W93" si="66">U84+V84</f>
        <v>8000</v>
      </c>
      <c r="X84" s="53">
        <f t="shared" ref="X84:X93" si="67">T84+W84</f>
        <v>16000</v>
      </c>
      <c r="Y84" s="488"/>
    </row>
    <row r="85" spans="1:25">
      <c r="A85" s="240">
        <f t="shared" si="57"/>
        <v>484</v>
      </c>
      <c r="B85" s="240" t="s">
        <v>758</v>
      </c>
      <c r="C85" s="195">
        <f>45000-10000</f>
        <v>35000</v>
      </c>
      <c r="D85" s="195">
        <v>35000</v>
      </c>
      <c r="E85" s="49">
        <v>11114</v>
      </c>
      <c r="F85" s="49">
        <v>11667</v>
      </c>
      <c r="G85" s="49">
        <v>8497</v>
      </c>
      <c r="H85" s="49"/>
      <c r="I85" s="49"/>
      <c r="J85" s="49">
        <v>15000</v>
      </c>
      <c r="K85" s="49">
        <f t="shared" si="65"/>
        <v>15000</v>
      </c>
      <c r="L85" s="49">
        <f t="shared" si="62"/>
        <v>34611</v>
      </c>
      <c r="M85" s="46"/>
      <c r="N85" s="44"/>
      <c r="O85" s="44">
        <v>15000</v>
      </c>
      <c r="P85" s="44">
        <f t="shared" si="51"/>
        <v>15000</v>
      </c>
      <c r="Q85" s="250"/>
      <c r="R85" s="44">
        <f t="shared" si="56"/>
        <v>15000</v>
      </c>
      <c r="S85" s="46"/>
      <c r="T85" s="482">
        <v>15000</v>
      </c>
      <c r="U85" s="482">
        <v>3000</v>
      </c>
      <c r="V85" s="482">
        <v>15000</v>
      </c>
      <c r="W85" s="53">
        <f t="shared" si="66"/>
        <v>18000</v>
      </c>
      <c r="X85" s="53">
        <f t="shared" si="67"/>
        <v>33000</v>
      </c>
      <c r="Y85" s="488"/>
    </row>
    <row r="86" spans="1:25">
      <c r="A86" s="240">
        <f t="shared" si="57"/>
        <v>485</v>
      </c>
      <c r="B86" s="240" t="s">
        <v>759</v>
      </c>
      <c r="C86" s="195">
        <v>45000</v>
      </c>
      <c r="D86" s="195">
        <v>45000</v>
      </c>
      <c r="E86" s="49">
        <v>31714</v>
      </c>
      <c r="F86" s="49">
        <v>15000</v>
      </c>
      <c r="G86" s="49">
        <v>12855</v>
      </c>
      <c r="H86" s="49"/>
      <c r="I86" s="49"/>
      <c r="J86" s="49">
        <v>15000</v>
      </c>
      <c r="K86" s="49">
        <f t="shared" si="65"/>
        <v>15000</v>
      </c>
      <c r="L86" s="49">
        <f t="shared" si="62"/>
        <v>59569</v>
      </c>
      <c r="M86" s="46"/>
      <c r="N86" s="44"/>
      <c r="O86" s="44">
        <v>15000</v>
      </c>
      <c r="P86" s="44">
        <f t="shared" si="51"/>
        <v>15000</v>
      </c>
      <c r="Q86" s="250"/>
      <c r="R86" s="44">
        <f t="shared" si="56"/>
        <v>15000</v>
      </c>
      <c r="S86" s="46"/>
      <c r="T86" s="482">
        <v>15000</v>
      </c>
      <c r="U86" s="482"/>
      <c r="V86" s="482">
        <v>15000</v>
      </c>
      <c r="W86" s="53">
        <f t="shared" si="66"/>
        <v>15000</v>
      </c>
      <c r="X86" s="53">
        <f t="shared" si="67"/>
        <v>30000</v>
      </c>
      <c r="Y86" s="488"/>
    </row>
    <row r="87" spans="1:25">
      <c r="A87" s="240">
        <f t="shared" si="57"/>
        <v>486</v>
      </c>
      <c r="B87" s="240" t="s">
        <v>760</v>
      </c>
      <c r="C87" s="195">
        <v>0</v>
      </c>
      <c r="D87" s="195">
        <v>15000</v>
      </c>
      <c r="E87" s="49"/>
      <c r="F87" s="49">
        <v>5000</v>
      </c>
      <c r="G87" s="49">
        <v>1000</v>
      </c>
      <c r="H87" s="49"/>
      <c r="I87" s="49"/>
      <c r="J87" s="49">
        <v>4000</v>
      </c>
      <c r="K87" s="49">
        <f t="shared" si="65"/>
        <v>4000</v>
      </c>
      <c r="L87" s="49">
        <f t="shared" si="62"/>
        <v>5000</v>
      </c>
      <c r="M87" s="46"/>
      <c r="N87" s="44"/>
      <c r="O87" s="44">
        <v>4000</v>
      </c>
      <c r="P87" s="44">
        <f t="shared" si="51"/>
        <v>4000</v>
      </c>
      <c r="Q87" s="250"/>
      <c r="R87" s="44">
        <f t="shared" si="56"/>
        <v>4000</v>
      </c>
      <c r="S87" s="46"/>
      <c r="T87" s="482">
        <v>2000</v>
      </c>
      <c r="U87" s="482"/>
      <c r="V87" s="482">
        <v>2000</v>
      </c>
      <c r="W87" s="53">
        <f t="shared" si="66"/>
        <v>2000</v>
      </c>
      <c r="X87" s="53">
        <f t="shared" si="67"/>
        <v>4000</v>
      </c>
      <c r="Y87" s="488"/>
    </row>
    <row r="88" spans="1:25">
      <c r="A88" s="240">
        <f t="shared" si="57"/>
        <v>487</v>
      </c>
      <c r="B88" s="240" t="s">
        <v>761</v>
      </c>
      <c r="C88" s="195">
        <v>40000</v>
      </c>
      <c r="D88" s="195">
        <v>90000</v>
      </c>
      <c r="E88" s="49">
        <v>33700</v>
      </c>
      <c r="F88" s="49">
        <v>30000</v>
      </c>
      <c r="G88" s="49">
        <v>23000</v>
      </c>
      <c r="H88" s="49"/>
      <c r="I88" s="49"/>
      <c r="J88" s="49">
        <v>25000</v>
      </c>
      <c r="K88" s="49">
        <f t="shared" si="65"/>
        <v>25000</v>
      </c>
      <c r="L88" s="49">
        <f t="shared" si="62"/>
        <v>81700</v>
      </c>
      <c r="M88" s="46"/>
      <c r="N88" s="44"/>
      <c r="O88" s="44">
        <v>26000</v>
      </c>
      <c r="P88" s="44">
        <f t="shared" si="51"/>
        <v>26000</v>
      </c>
      <c r="Q88" s="534"/>
      <c r="R88" s="44">
        <f t="shared" si="56"/>
        <v>26000</v>
      </c>
      <c r="S88" s="46"/>
      <c r="T88" s="482">
        <v>25000</v>
      </c>
      <c r="U88" s="482">
        <v>1500</v>
      </c>
      <c r="V88" s="482">
        <v>25000</v>
      </c>
      <c r="W88" s="53">
        <f t="shared" si="66"/>
        <v>26500</v>
      </c>
      <c r="X88" s="53">
        <f t="shared" si="67"/>
        <v>51500</v>
      </c>
      <c r="Y88" s="488"/>
    </row>
    <row r="89" spans="1:25">
      <c r="A89" s="240">
        <f t="shared" si="57"/>
        <v>488</v>
      </c>
      <c r="B89" s="240" t="s">
        <v>762</v>
      </c>
      <c r="C89" s="195">
        <v>15000</v>
      </c>
      <c r="D89" s="195">
        <v>15000</v>
      </c>
      <c r="E89" s="49">
        <v>5000</v>
      </c>
      <c r="F89" s="49">
        <v>5000</v>
      </c>
      <c r="G89" s="49">
        <v>3000</v>
      </c>
      <c r="H89" s="49" t="s">
        <v>763</v>
      </c>
      <c r="I89" s="49"/>
      <c r="J89" s="49">
        <v>5000</v>
      </c>
      <c r="K89" s="49">
        <f t="shared" si="65"/>
        <v>5000</v>
      </c>
      <c r="L89" s="49">
        <f t="shared" si="62"/>
        <v>13000</v>
      </c>
      <c r="M89" s="46"/>
      <c r="N89" s="44"/>
      <c r="O89" s="44">
        <v>5000</v>
      </c>
      <c r="P89" s="44">
        <f t="shared" si="51"/>
        <v>5000</v>
      </c>
      <c r="Q89" s="250" t="s">
        <v>764</v>
      </c>
      <c r="R89" s="44">
        <f t="shared" si="56"/>
        <v>5000</v>
      </c>
      <c r="S89" s="46"/>
      <c r="T89" s="482">
        <v>5000</v>
      </c>
      <c r="U89" s="482">
        <v>3000</v>
      </c>
      <c r="V89" s="482">
        <v>5000</v>
      </c>
      <c r="W89" s="53">
        <f t="shared" si="66"/>
        <v>8000</v>
      </c>
      <c r="X89" s="53">
        <f t="shared" si="67"/>
        <v>13000</v>
      </c>
      <c r="Y89" s="488" t="s">
        <v>765</v>
      </c>
    </row>
    <row r="90" spans="1:25">
      <c r="A90" s="240">
        <f t="shared" si="57"/>
        <v>489</v>
      </c>
      <c r="B90" s="240" t="s">
        <v>605</v>
      </c>
      <c r="C90" s="195">
        <v>0</v>
      </c>
      <c r="D90" s="195">
        <v>15000</v>
      </c>
      <c r="E90" s="49">
        <v>7216</v>
      </c>
      <c r="F90" s="49">
        <v>5000</v>
      </c>
      <c r="G90" s="49"/>
      <c r="H90" s="49"/>
      <c r="I90" s="49">
        <v>6500</v>
      </c>
      <c r="J90" s="49">
        <v>5000</v>
      </c>
      <c r="K90" s="49">
        <f t="shared" si="65"/>
        <v>5000</v>
      </c>
      <c r="L90" s="49">
        <f t="shared" si="62"/>
        <v>12216</v>
      </c>
      <c r="M90" s="46"/>
      <c r="N90" s="44">
        <v>6500</v>
      </c>
      <c r="O90" s="44"/>
      <c r="P90" s="44">
        <f t="shared" si="51"/>
        <v>6500</v>
      </c>
      <c r="Q90" s="250"/>
      <c r="R90" s="44">
        <f t="shared" si="56"/>
        <v>6500</v>
      </c>
      <c r="S90" s="46"/>
      <c r="T90" s="482">
        <v>5000</v>
      </c>
      <c r="U90" s="482"/>
      <c r="V90" s="482">
        <v>5000</v>
      </c>
      <c r="W90" s="53">
        <f t="shared" si="66"/>
        <v>5000</v>
      </c>
      <c r="X90" s="53">
        <f t="shared" si="67"/>
        <v>10000</v>
      </c>
      <c r="Y90" s="488"/>
    </row>
    <row r="91" spans="1:25" ht="36" customHeight="1">
      <c r="A91" s="240">
        <f t="shared" si="57"/>
        <v>490</v>
      </c>
      <c r="B91" s="240" t="s">
        <v>766</v>
      </c>
      <c r="C91" s="195">
        <v>0</v>
      </c>
      <c r="D91" s="195">
        <v>20000</v>
      </c>
      <c r="E91" s="49"/>
      <c r="F91" s="49">
        <v>6500</v>
      </c>
      <c r="G91" s="49">
        <v>3000</v>
      </c>
      <c r="H91" s="49"/>
      <c r="I91" s="49"/>
      <c r="J91" s="49">
        <v>10000</v>
      </c>
      <c r="K91" s="49">
        <f t="shared" si="65"/>
        <v>10000</v>
      </c>
      <c r="L91" s="49">
        <f t="shared" si="62"/>
        <v>13000</v>
      </c>
      <c r="M91" s="46"/>
      <c r="N91" s="44"/>
      <c r="O91" s="44">
        <v>5000</v>
      </c>
      <c r="P91" s="44">
        <f t="shared" si="51"/>
        <v>5000</v>
      </c>
      <c r="Q91" s="250"/>
      <c r="R91" s="44">
        <f t="shared" si="56"/>
        <v>5000</v>
      </c>
      <c r="S91" s="46"/>
      <c r="T91" s="482">
        <v>5000</v>
      </c>
      <c r="U91" s="482"/>
      <c r="V91" s="482">
        <v>5000</v>
      </c>
      <c r="W91" s="53">
        <f t="shared" si="66"/>
        <v>5000</v>
      </c>
      <c r="X91" s="53">
        <f t="shared" si="67"/>
        <v>10000</v>
      </c>
      <c r="Y91" s="488" t="s">
        <v>767</v>
      </c>
    </row>
    <row r="92" spans="1:25" ht="45" customHeight="1">
      <c r="A92" s="522" t="s">
        <v>768</v>
      </c>
      <c r="B92" s="240" t="s">
        <v>769</v>
      </c>
      <c r="E92" s="49"/>
      <c r="F92" s="49"/>
      <c r="G92" s="49"/>
      <c r="H92" s="49"/>
      <c r="I92" s="49"/>
      <c r="J92" s="49"/>
      <c r="K92" s="49">
        <f>I94</f>
        <v>6500</v>
      </c>
      <c r="L92" s="49">
        <f t="shared" si="62"/>
        <v>6500</v>
      </c>
      <c r="M92" s="46"/>
      <c r="N92" s="44"/>
      <c r="O92" s="44">
        <v>7000</v>
      </c>
      <c r="P92" s="44">
        <f t="shared" si="51"/>
        <v>7000</v>
      </c>
      <c r="Q92" s="250"/>
      <c r="R92" s="44">
        <f t="shared" si="56"/>
        <v>7000</v>
      </c>
      <c r="S92" s="46"/>
      <c r="T92" s="482">
        <v>12000</v>
      </c>
      <c r="U92" s="482"/>
      <c r="V92" s="482">
        <v>12000</v>
      </c>
      <c r="W92" s="53">
        <f t="shared" si="66"/>
        <v>12000</v>
      </c>
      <c r="X92" s="53">
        <f t="shared" si="67"/>
        <v>24000</v>
      </c>
      <c r="Y92" s="488"/>
    </row>
    <row r="93" spans="1:25" ht="49.5" customHeight="1">
      <c r="A93" s="240">
        <f>A91+1</f>
        <v>491</v>
      </c>
      <c r="B93" s="240" t="s">
        <v>181</v>
      </c>
      <c r="C93" s="323">
        <f>'[4]Salary Summary GC Adopted'!Y15</f>
        <v>756083.81615320384</v>
      </c>
      <c r="D93" s="195">
        <v>1181392.6639458421</v>
      </c>
      <c r="E93" s="240">
        <v>341920</v>
      </c>
      <c r="F93" s="240">
        <v>375081</v>
      </c>
      <c r="G93" s="240">
        <v>394449.75256232801</v>
      </c>
      <c r="H93" s="240"/>
      <c r="I93" s="240"/>
      <c r="J93" s="240">
        <f>'[3]Salary Summary 20 for 2019-2021'!P17</f>
        <v>405298.44953130541</v>
      </c>
      <c r="K93" s="240">
        <f>J93</f>
        <v>405298.44953130541</v>
      </c>
      <c r="L93" s="240">
        <f t="shared" si="62"/>
        <v>1141668.2020936334</v>
      </c>
      <c r="M93" s="476"/>
      <c r="N93" s="283"/>
      <c r="O93" s="283">
        <f>'Salary Summary 21 for 2022-2024'!M18</f>
        <v>417988.55682156119</v>
      </c>
      <c r="P93" s="283">
        <f t="shared" si="51"/>
        <v>417988.55682156119</v>
      </c>
      <c r="Q93" s="250"/>
      <c r="R93" s="283">
        <f t="shared" si="56"/>
        <v>417988.55682156119</v>
      </c>
      <c r="S93" s="476"/>
      <c r="T93" s="482">
        <f>'[7]Salary Summary 21 for 2022-2024'!P17</f>
        <v>436708.60530040081</v>
      </c>
      <c r="U93" s="482"/>
      <c r="V93" s="482">
        <f>'[7]Salary Summary 21 for 2022-2024'!T17</f>
        <v>450744.65871318564</v>
      </c>
      <c r="W93" s="53">
        <f t="shared" si="66"/>
        <v>450744.65871318564</v>
      </c>
      <c r="X93" s="53">
        <f t="shared" si="67"/>
        <v>887453.26401358645</v>
      </c>
      <c r="Y93" s="488"/>
    </row>
    <row r="94" spans="1:25" s="354" customFormat="1">
      <c r="A94" s="269">
        <f t="shared" si="57"/>
        <v>492</v>
      </c>
      <c r="B94" s="269" t="s">
        <v>770</v>
      </c>
      <c r="C94" s="114">
        <f>SUM(C80:C93)</f>
        <v>1096383.8161532038</v>
      </c>
      <c r="D94" s="114">
        <v>1681392.6639458421</v>
      </c>
      <c r="E94" s="114">
        <f t="shared" ref="E94:K94" si="68">SUM(E81:E93)</f>
        <v>503825</v>
      </c>
      <c r="F94" s="114">
        <f t="shared" si="68"/>
        <v>541581</v>
      </c>
      <c r="G94" s="114">
        <f>SUM(G81:G93)</f>
        <v>499702.75256232801</v>
      </c>
      <c r="H94" s="114"/>
      <c r="I94" s="114">
        <f t="shared" si="68"/>
        <v>6500</v>
      </c>
      <c r="J94" s="114">
        <f t="shared" si="68"/>
        <v>566298.44953130535</v>
      </c>
      <c r="K94" s="114">
        <f t="shared" si="68"/>
        <v>572798.44953130535</v>
      </c>
      <c r="L94" s="114">
        <f t="shared" si="62"/>
        <v>1576326.2020936334</v>
      </c>
      <c r="M94" s="116"/>
      <c r="N94" s="117">
        <f t="shared" ref="N94:P94" si="69">SUM(N81:N93)</f>
        <v>6500</v>
      </c>
      <c r="O94" s="117">
        <f t="shared" si="69"/>
        <v>566988.55682156119</v>
      </c>
      <c r="P94" s="117">
        <f t="shared" si="69"/>
        <v>573488.55682156119</v>
      </c>
      <c r="Q94" s="542"/>
      <c r="R94" s="117">
        <f t="shared" si="56"/>
        <v>573488.55682156119</v>
      </c>
      <c r="S94" s="116"/>
      <c r="T94" s="119">
        <f t="shared" ref="T94:Y94" si="70">SUM(T81:T93)</f>
        <v>602708.60530040087</v>
      </c>
      <c r="U94" s="119">
        <f t="shared" si="70"/>
        <v>13500</v>
      </c>
      <c r="V94" s="119">
        <f t="shared" si="70"/>
        <v>616744.65871318569</v>
      </c>
      <c r="W94" s="119">
        <f t="shared" si="70"/>
        <v>630244.65871318569</v>
      </c>
      <c r="X94" s="119">
        <f t="shared" si="70"/>
        <v>1232953.2640135866</v>
      </c>
      <c r="Y94" s="272">
        <f t="shared" si="70"/>
        <v>0</v>
      </c>
    </row>
    <row r="95" spans="1:25">
      <c r="A95" s="240">
        <f t="shared" si="57"/>
        <v>493</v>
      </c>
      <c r="D95" s="195">
        <v>0</v>
      </c>
      <c r="L95" s="195">
        <f t="shared" si="62"/>
        <v>0</v>
      </c>
      <c r="N95" s="196"/>
      <c r="O95" s="196"/>
      <c r="P95" s="196">
        <f t="shared" si="51"/>
        <v>0</v>
      </c>
      <c r="Q95" s="250"/>
      <c r="R95" s="196">
        <f t="shared" si="56"/>
        <v>0</v>
      </c>
      <c r="T95" s="346"/>
      <c r="U95" s="346"/>
      <c r="V95" s="346"/>
      <c r="W95" s="346"/>
      <c r="X95" s="346"/>
      <c r="Y95" s="488"/>
    </row>
    <row r="96" spans="1:25">
      <c r="A96" s="236">
        <f t="shared" si="57"/>
        <v>494</v>
      </c>
      <c r="B96" s="236" t="s">
        <v>771</v>
      </c>
      <c r="D96" s="195">
        <v>0</v>
      </c>
      <c r="L96" s="195">
        <f t="shared" si="62"/>
        <v>0</v>
      </c>
      <c r="N96" s="196"/>
      <c r="O96" s="196"/>
      <c r="P96" s="196">
        <f t="shared" si="51"/>
        <v>0</v>
      </c>
      <c r="Q96" s="250"/>
      <c r="R96" s="196">
        <f t="shared" si="56"/>
        <v>0</v>
      </c>
      <c r="T96" s="346"/>
      <c r="U96" s="346"/>
      <c r="V96" s="346"/>
      <c r="W96" s="346"/>
      <c r="X96" s="346"/>
      <c r="Y96" s="488"/>
    </row>
    <row r="97" spans="1:25">
      <c r="A97" s="240">
        <f t="shared" si="57"/>
        <v>495</v>
      </c>
      <c r="B97" s="240" t="s">
        <v>772</v>
      </c>
      <c r="C97" s="195">
        <v>101000</v>
      </c>
      <c r="D97" s="195">
        <v>101000</v>
      </c>
      <c r="E97" s="49">
        <f>D97/3</f>
        <v>33666.666666666664</v>
      </c>
      <c r="F97" s="49">
        <v>33667</v>
      </c>
      <c r="G97" s="49">
        <v>33667</v>
      </c>
      <c r="H97" s="49" t="s">
        <v>773</v>
      </c>
      <c r="I97" s="49"/>
      <c r="J97" s="49">
        <v>33667</v>
      </c>
      <c r="K97" s="49">
        <f t="shared" ref="K97:K101" si="71">J97</f>
        <v>33667</v>
      </c>
      <c r="L97" s="49">
        <f t="shared" si="62"/>
        <v>101000.66666666666</v>
      </c>
      <c r="M97" s="46"/>
      <c r="N97" s="44"/>
      <c r="O97" s="44">
        <v>33667</v>
      </c>
      <c r="P97" s="44">
        <f t="shared" si="51"/>
        <v>33667</v>
      </c>
      <c r="Q97" s="250"/>
      <c r="R97" s="44">
        <f t="shared" si="56"/>
        <v>33667</v>
      </c>
      <c r="S97" s="46"/>
      <c r="T97" s="482">
        <v>33000</v>
      </c>
      <c r="U97" s="482"/>
      <c r="V97" s="482">
        <v>33000</v>
      </c>
      <c r="W97" s="53">
        <f t="shared" ref="W97:W101" si="72">U97+V97</f>
        <v>33000</v>
      </c>
      <c r="X97" s="53">
        <f t="shared" ref="X97:X101" si="73">T97+W97</f>
        <v>66000</v>
      </c>
      <c r="Y97" s="488"/>
    </row>
    <row r="98" spans="1:25">
      <c r="A98" s="240">
        <f t="shared" si="57"/>
        <v>496</v>
      </c>
      <c r="B98" s="240" t="s">
        <v>774</v>
      </c>
      <c r="C98" s="195">
        <v>30000</v>
      </c>
      <c r="D98" s="195">
        <v>0</v>
      </c>
      <c r="E98" s="49"/>
      <c r="F98" s="49"/>
      <c r="G98" s="49"/>
      <c r="H98" s="49"/>
      <c r="I98" s="49"/>
      <c r="J98" s="49"/>
      <c r="K98" s="49">
        <f t="shared" si="71"/>
        <v>0</v>
      </c>
      <c r="L98" s="49">
        <f t="shared" si="62"/>
        <v>0</v>
      </c>
      <c r="M98" s="46"/>
      <c r="N98" s="44"/>
      <c r="O98" s="44"/>
      <c r="P98" s="44">
        <f t="shared" si="51"/>
        <v>0</v>
      </c>
      <c r="Q98" s="250"/>
      <c r="R98" s="44">
        <f t="shared" si="56"/>
        <v>0</v>
      </c>
      <c r="S98" s="46"/>
      <c r="T98" s="482"/>
      <c r="U98" s="482"/>
      <c r="V98" s="482"/>
      <c r="W98" s="53">
        <f t="shared" si="72"/>
        <v>0</v>
      </c>
      <c r="X98" s="53">
        <f t="shared" si="73"/>
        <v>0</v>
      </c>
      <c r="Y98" s="488"/>
    </row>
    <row r="99" spans="1:25">
      <c r="A99" s="240">
        <f t="shared" si="57"/>
        <v>497</v>
      </c>
      <c r="B99" s="240" t="s">
        <v>775</v>
      </c>
      <c r="C99" s="195">
        <v>180000</v>
      </c>
      <c r="D99" s="195">
        <v>150000</v>
      </c>
      <c r="E99" s="49">
        <v>50000</v>
      </c>
      <c r="F99" s="49">
        <v>50000</v>
      </c>
      <c r="G99" s="49">
        <v>40000</v>
      </c>
      <c r="H99" s="49"/>
      <c r="I99" s="49"/>
      <c r="J99" s="49">
        <v>50000</v>
      </c>
      <c r="K99" s="49">
        <f t="shared" si="71"/>
        <v>50000</v>
      </c>
      <c r="L99" s="49">
        <f t="shared" si="62"/>
        <v>140000</v>
      </c>
      <c r="M99" s="46"/>
      <c r="N99" s="44"/>
      <c r="O99" s="44">
        <v>50000</v>
      </c>
      <c r="P99" s="44">
        <f t="shared" si="51"/>
        <v>50000</v>
      </c>
      <c r="Q99" s="250"/>
      <c r="R99" s="44">
        <f t="shared" si="56"/>
        <v>50000</v>
      </c>
      <c r="S99" s="46"/>
      <c r="T99" s="482">
        <v>50000</v>
      </c>
      <c r="U99" s="482"/>
      <c r="V99" s="482">
        <v>50000</v>
      </c>
      <c r="W99" s="53">
        <f t="shared" si="72"/>
        <v>50000</v>
      </c>
      <c r="X99" s="53">
        <f t="shared" si="73"/>
        <v>100000</v>
      </c>
      <c r="Y99" s="488"/>
    </row>
    <row r="100" spans="1:25">
      <c r="A100" s="240">
        <f t="shared" si="57"/>
        <v>498</v>
      </c>
      <c r="B100" s="240" t="s">
        <v>776</v>
      </c>
      <c r="C100" s="195">
        <v>25000</v>
      </c>
      <c r="D100" s="195">
        <v>30000</v>
      </c>
      <c r="E100" s="49">
        <v>8000</v>
      </c>
      <c r="F100" s="49">
        <v>10000</v>
      </c>
      <c r="G100" s="49">
        <v>10000</v>
      </c>
      <c r="H100" s="49" t="s">
        <v>773</v>
      </c>
      <c r="I100" s="49"/>
      <c r="J100" s="49">
        <v>10000</v>
      </c>
      <c r="K100" s="49">
        <f t="shared" si="71"/>
        <v>10000</v>
      </c>
      <c r="L100" s="49">
        <f t="shared" si="62"/>
        <v>28000</v>
      </c>
      <c r="M100" s="46"/>
      <c r="N100" s="44"/>
      <c r="O100" s="44">
        <v>10000</v>
      </c>
      <c r="P100" s="44">
        <f t="shared" si="51"/>
        <v>10000</v>
      </c>
      <c r="Q100" s="250"/>
      <c r="R100" s="44">
        <f t="shared" si="56"/>
        <v>10000</v>
      </c>
      <c r="S100" s="46"/>
      <c r="T100" s="482">
        <v>10000</v>
      </c>
      <c r="U100" s="482"/>
      <c r="V100" s="482">
        <v>10000</v>
      </c>
      <c r="W100" s="53">
        <f t="shared" si="72"/>
        <v>10000</v>
      </c>
      <c r="X100" s="53">
        <f t="shared" si="73"/>
        <v>20000</v>
      </c>
      <c r="Y100" s="488"/>
    </row>
    <row r="101" spans="1:25">
      <c r="A101" s="543">
        <f t="shared" si="57"/>
        <v>499</v>
      </c>
      <c r="B101" s="544" t="s">
        <v>777</v>
      </c>
      <c r="D101" s="195">
        <v>9000</v>
      </c>
      <c r="E101" s="49"/>
      <c r="F101" s="49">
        <v>3000</v>
      </c>
      <c r="G101" s="49">
        <v>0</v>
      </c>
      <c r="H101" s="49" t="s">
        <v>778</v>
      </c>
      <c r="I101" s="49"/>
      <c r="J101" s="49">
        <v>3000</v>
      </c>
      <c r="K101" s="49">
        <f t="shared" si="71"/>
        <v>3000</v>
      </c>
      <c r="L101" s="49">
        <f t="shared" si="62"/>
        <v>3000</v>
      </c>
      <c r="M101" s="46"/>
      <c r="N101" s="44"/>
      <c r="O101" s="44">
        <v>3000</v>
      </c>
      <c r="P101" s="44">
        <f t="shared" si="51"/>
        <v>3000</v>
      </c>
      <c r="Q101" s="250"/>
      <c r="R101" s="44">
        <f t="shared" si="56"/>
        <v>3000</v>
      </c>
      <c r="S101" s="46"/>
      <c r="T101" s="482">
        <v>3000</v>
      </c>
      <c r="U101" s="482"/>
      <c r="V101" s="482">
        <v>3000</v>
      </c>
      <c r="W101" s="53">
        <f t="shared" si="72"/>
        <v>3000</v>
      </c>
      <c r="X101" s="53">
        <f t="shared" si="73"/>
        <v>6000</v>
      </c>
      <c r="Y101" s="488"/>
    </row>
    <row r="102" spans="1:25" s="354" customFormat="1">
      <c r="A102" s="269">
        <f t="shared" si="57"/>
        <v>500</v>
      </c>
      <c r="B102" s="269" t="s">
        <v>779</v>
      </c>
      <c r="C102" s="114">
        <f>SUM(C97:C100)</f>
        <v>336000</v>
      </c>
      <c r="D102" s="114">
        <f>SUM(D97:D101)</f>
        <v>290000</v>
      </c>
      <c r="E102" s="114">
        <f t="shared" ref="E102:K102" si="74">SUM(E97:E101)</f>
        <v>91666.666666666657</v>
      </c>
      <c r="F102" s="114">
        <f t="shared" si="74"/>
        <v>96667</v>
      </c>
      <c r="G102" s="114">
        <f t="shared" si="74"/>
        <v>83667</v>
      </c>
      <c r="H102" s="114">
        <f t="shared" si="74"/>
        <v>0</v>
      </c>
      <c r="I102" s="114">
        <f t="shared" si="74"/>
        <v>0</v>
      </c>
      <c r="J102" s="114">
        <f t="shared" si="74"/>
        <v>96667</v>
      </c>
      <c r="K102" s="114">
        <f t="shared" si="74"/>
        <v>96667</v>
      </c>
      <c r="L102" s="114">
        <f t="shared" si="62"/>
        <v>272000.66666666663</v>
      </c>
      <c r="M102" s="116"/>
      <c r="N102" s="117">
        <f t="shared" ref="N102:P102" si="75">SUM(N97:N101)</f>
        <v>0</v>
      </c>
      <c r="O102" s="117">
        <f t="shared" si="75"/>
        <v>96667</v>
      </c>
      <c r="P102" s="117">
        <f t="shared" si="75"/>
        <v>96667</v>
      </c>
      <c r="Q102" s="422"/>
      <c r="R102" s="117">
        <f t="shared" si="56"/>
        <v>96667</v>
      </c>
      <c r="S102" s="116"/>
      <c r="T102" s="119">
        <f t="shared" ref="T102:Y102" si="76">SUM(T97:T101)</f>
        <v>96000</v>
      </c>
      <c r="U102" s="119">
        <f t="shared" si="76"/>
        <v>0</v>
      </c>
      <c r="V102" s="119">
        <f t="shared" si="76"/>
        <v>96000</v>
      </c>
      <c r="W102" s="119">
        <f t="shared" si="76"/>
        <v>96000</v>
      </c>
      <c r="X102" s="119">
        <f t="shared" si="76"/>
        <v>192000</v>
      </c>
      <c r="Y102" s="272">
        <f t="shared" si="76"/>
        <v>0</v>
      </c>
    </row>
    <row r="103" spans="1:25">
      <c r="A103" s="240">
        <f t="shared" si="57"/>
        <v>501</v>
      </c>
      <c r="D103" s="195">
        <v>0</v>
      </c>
      <c r="L103" s="195">
        <f t="shared" si="62"/>
        <v>0</v>
      </c>
      <c r="N103" s="196"/>
      <c r="O103" s="196"/>
      <c r="P103" s="196">
        <f t="shared" si="51"/>
        <v>0</v>
      </c>
      <c r="Q103" s="250"/>
      <c r="R103" s="196">
        <f t="shared" si="56"/>
        <v>0</v>
      </c>
      <c r="T103" s="346"/>
      <c r="U103" s="346"/>
      <c r="V103" s="346"/>
      <c r="W103" s="346"/>
      <c r="X103" s="346"/>
      <c r="Y103" s="488"/>
    </row>
    <row r="104" spans="1:25">
      <c r="A104" s="236">
        <f t="shared" si="57"/>
        <v>502</v>
      </c>
      <c r="B104" s="236" t="s">
        <v>780</v>
      </c>
      <c r="D104" s="195">
        <v>0</v>
      </c>
      <c r="L104" s="195">
        <f t="shared" si="62"/>
        <v>0</v>
      </c>
      <c r="N104" s="196"/>
      <c r="O104" s="196"/>
      <c r="P104" s="196">
        <f t="shared" si="51"/>
        <v>0</v>
      </c>
      <c r="Q104" s="265"/>
      <c r="R104" s="196">
        <f t="shared" si="56"/>
        <v>0</v>
      </c>
      <c r="T104" s="346"/>
      <c r="U104" s="346"/>
      <c r="V104" s="346"/>
      <c r="W104" s="346"/>
      <c r="X104" s="346"/>
      <c r="Y104" s="488"/>
    </row>
    <row r="105" spans="1:25">
      <c r="A105" s="240">
        <f t="shared" si="57"/>
        <v>503</v>
      </c>
      <c r="B105" s="240" t="s">
        <v>781</v>
      </c>
      <c r="C105" s="195">
        <v>3111859</v>
      </c>
      <c r="D105" s="195">
        <v>2407187.7938875472</v>
      </c>
      <c r="E105" s="49">
        <v>1037286</v>
      </c>
      <c r="F105" s="49">
        <v>1037286</v>
      </c>
      <c r="G105" s="49">
        <v>1037286.3333333334</v>
      </c>
      <c r="H105" s="49"/>
      <c r="I105" s="49"/>
      <c r="J105" s="49">
        <v>1037286.3333333334</v>
      </c>
      <c r="K105" s="49">
        <f t="shared" ref="K105:K112" si="77">J105</f>
        <v>1037286.3333333334</v>
      </c>
      <c r="L105" s="49">
        <f t="shared" si="62"/>
        <v>3111858.666666667</v>
      </c>
      <c r="M105" s="46"/>
      <c r="N105" s="44"/>
      <c r="O105" s="44">
        <v>1037286.3333333334</v>
      </c>
      <c r="P105" s="44">
        <f t="shared" si="51"/>
        <v>1037286.3333333334</v>
      </c>
      <c r="Q105" s="250"/>
      <c r="R105" s="44">
        <f t="shared" si="56"/>
        <v>1037286.3333333334</v>
      </c>
      <c r="S105" s="46"/>
      <c r="T105" s="346"/>
      <c r="U105" s="346"/>
      <c r="V105" s="346">
        <v>1209815.5608113711</v>
      </c>
      <c r="W105" s="53">
        <f t="shared" ref="W105:W111" si="78">U105+V105</f>
        <v>1209815.5608113711</v>
      </c>
      <c r="X105" s="53">
        <f t="shared" ref="X105:X112" si="79">T105+W105</f>
        <v>1209815.5608113711</v>
      </c>
      <c r="Y105" s="488"/>
    </row>
    <row r="106" spans="1:25">
      <c r="A106" s="240">
        <f t="shared" si="57"/>
        <v>504</v>
      </c>
      <c r="B106" s="240" t="s">
        <v>782</v>
      </c>
      <c r="C106" s="195">
        <v>81384</v>
      </c>
      <c r="D106" s="195">
        <v>81384</v>
      </c>
      <c r="E106" s="49">
        <f>D106/3</f>
        <v>27128</v>
      </c>
      <c r="F106" s="49">
        <v>27128</v>
      </c>
      <c r="G106" s="49">
        <v>27128</v>
      </c>
      <c r="H106" s="49"/>
      <c r="I106" s="49"/>
      <c r="J106" s="49">
        <v>27128</v>
      </c>
      <c r="K106" s="49">
        <f t="shared" si="77"/>
        <v>27128</v>
      </c>
      <c r="L106" s="49">
        <f t="shared" si="62"/>
        <v>81384</v>
      </c>
      <c r="M106" s="46"/>
      <c r="N106" s="44"/>
      <c r="O106" s="44">
        <f>'[3]rent sched 2022'!G8</f>
        <v>33192</v>
      </c>
      <c r="P106" s="44">
        <f t="shared" si="51"/>
        <v>33192</v>
      </c>
      <c r="Q106" s="250"/>
      <c r="R106" s="44">
        <f t="shared" si="56"/>
        <v>33192</v>
      </c>
      <c r="S106" s="46"/>
      <c r="T106" s="482">
        <v>33192</v>
      </c>
      <c r="U106" s="482"/>
      <c r="V106" s="482">
        <v>34775</v>
      </c>
      <c r="W106" s="53">
        <f t="shared" si="78"/>
        <v>34775</v>
      </c>
      <c r="X106" s="53">
        <f t="shared" si="79"/>
        <v>67967</v>
      </c>
      <c r="Y106" s="488"/>
    </row>
    <row r="107" spans="1:25">
      <c r="A107" s="240">
        <f t="shared" si="57"/>
        <v>505</v>
      </c>
      <c r="B107" s="240" t="s">
        <v>783</v>
      </c>
      <c r="C107" s="195">
        <v>22447</v>
      </c>
      <c r="D107" s="195">
        <v>0</v>
      </c>
      <c r="E107" s="49"/>
      <c r="F107" s="49">
        <v>0</v>
      </c>
      <c r="G107" s="49">
        <v>0</v>
      </c>
      <c r="H107" s="49"/>
      <c r="I107" s="49"/>
      <c r="J107" s="49">
        <v>0</v>
      </c>
      <c r="K107" s="49">
        <f t="shared" si="77"/>
        <v>0</v>
      </c>
      <c r="L107" s="49">
        <f t="shared" si="62"/>
        <v>0</v>
      </c>
      <c r="M107" s="46"/>
      <c r="N107" s="44"/>
      <c r="O107" s="44">
        <v>0</v>
      </c>
      <c r="P107" s="44">
        <f t="shared" si="51"/>
        <v>0</v>
      </c>
      <c r="Q107" s="265"/>
      <c r="R107" s="44">
        <f t="shared" si="56"/>
        <v>0</v>
      </c>
      <c r="S107" s="46"/>
      <c r="T107" s="482"/>
      <c r="U107" s="482"/>
      <c r="V107" s="482"/>
      <c r="W107" s="53">
        <f t="shared" si="78"/>
        <v>0</v>
      </c>
      <c r="X107" s="53">
        <f t="shared" si="79"/>
        <v>0</v>
      </c>
      <c r="Y107" s="488"/>
    </row>
    <row r="108" spans="1:25">
      <c r="A108" s="240">
        <f t="shared" si="57"/>
        <v>506</v>
      </c>
      <c r="B108" s="240" t="s">
        <v>784</v>
      </c>
      <c r="C108" s="195">
        <v>122505</v>
      </c>
      <c r="D108" s="195">
        <v>0</v>
      </c>
      <c r="E108" s="49"/>
      <c r="F108" s="49"/>
      <c r="G108" s="49"/>
      <c r="H108" s="49"/>
      <c r="I108" s="49"/>
      <c r="J108" s="49">
        <v>0</v>
      </c>
      <c r="K108" s="49">
        <f t="shared" si="77"/>
        <v>0</v>
      </c>
      <c r="L108" s="49">
        <f t="shared" si="62"/>
        <v>0</v>
      </c>
      <c r="M108" s="46"/>
      <c r="N108" s="44"/>
      <c r="O108" s="44">
        <v>0</v>
      </c>
      <c r="P108" s="44">
        <f t="shared" si="51"/>
        <v>0</v>
      </c>
      <c r="Q108" s="250"/>
      <c r="R108" s="44">
        <f t="shared" si="56"/>
        <v>0</v>
      </c>
      <c r="S108" s="46"/>
      <c r="T108" s="482"/>
      <c r="U108" s="482"/>
      <c r="V108" s="482"/>
      <c r="W108" s="53">
        <f t="shared" si="78"/>
        <v>0</v>
      </c>
      <c r="X108" s="53">
        <f t="shared" si="79"/>
        <v>0</v>
      </c>
      <c r="Y108" s="488"/>
    </row>
    <row r="109" spans="1:25">
      <c r="A109" s="240">
        <f t="shared" si="57"/>
        <v>507</v>
      </c>
      <c r="B109" s="240" t="s">
        <v>785</v>
      </c>
      <c r="C109" s="195">
        <v>131877</v>
      </c>
      <c r="D109" s="195">
        <v>0</v>
      </c>
      <c r="E109" s="49"/>
      <c r="F109" s="49"/>
      <c r="G109" s="49"/>
      <c r="H109" s="49"/>
      <c r="I109" s="49"/>
      <c r="J109" s="49">
        <v>0</v>
      </c>
      <c r="K109" s="49">
        <f t="shared" si="77"/>
        <v>0</v>
      </c>
      <c r="L109" s="49">
        <f t="shared" si="62"/>
        <v>0</v>
      </c>
      <c r="M109" s="46"/>
      <c r="N109" s="44"/>
      <c r="O109" s="44">
        <v>0</v>
      </c>
      <c r="P109" s="44">
        <f t="shared" si="51"/>
        <v>0</v>
      </c>
      <c r="Q109" s="250"/>
      <c r="R109" s="44">
        <f t="shared" si="56"/>
        <v>0</v>
      </c>
      <c r="S109" s="46"/>
      <c r="T109" s="482"/>
      <c r="U109" s="482"/>
      <c r="V109" s="482"/>
      <c r="W109" s="53">
        <f t="shared" si="78"/>
        <v>0</v>
      </c>
      <c r="X109" s="53">
        <f t="shared" si="79"/>
        <v>0</v>
      </c>
      <c r="Y109" s="488"/>
    </row>
    <row r="110" spans="1:25">
      <c r="A110" s="240">
        <f t="shared" si="57"/>
        <v>508</v>
      </c>
      <c r="B110" s="240" t="s">
        <v>786</v>
      </c>
      <c r="C110" s="195">
        <v>17377</v>
      </c>
      <c r="D110" s="195">
        <v>0</v>
      </c>
      <c r="E110" s="49"/>
      <c r="F110" s="49"/>
      <c r="G110" s="49"/>
      <c r="H110" s="49"/>
      <c r="I110" s="49"/>
      <c r="J110" s="49">
        <v>0</v>
      </c>
      <c r="K110" s="49">
        <f t="shared" si="77"/>
        <v>0</v>
      </c>
      <c r="L110" s="49">
        <f t="shared" si="62"/>
        <v>0</v>
      </c>
      <c r="M110" s="46"/>
      <c r="N110" s="44"/>
      <c r="O110" s="44">
        <v>0</v>
      </c>
      <c r="P110" s="44">
        <f t="shared" si="51"/>
        <v>0</v>
      </c>
      <c r="Q110" s="250"/>
      <c r="R110" s="44">
        <f t="shared" si="56"/>
        <v>0</v>
      </c>
      <c r="S110" s="46"/>
      <c r="T110" s="482"/>
      <c r="U110" s="482"/>
      <c r="V110" s="482"/>
      <c r="W110" s="53">
        <f t="shared" si="78"/>
        <v>0</v>
      </c>
      <c r="X110" s="53">
        <f t="shared" si="79"/>
        <v>0</v>
      </c>
      <c r="Y110" s="488"/>
    </row>
    <row r="111" spans="1:25">
      <c r="A111" s="240">
        <f t="shared" si="57"/>
        <v>509</v>
      </c>
      <c r="B111" s="240" t="s">
        <v>787</v>
      </c>
      <c r="C111" s="49">
        <f>SUM(C105:C110)</f>
        <v>3487449</v>
      </c>
      <c r="D111" s="49">
        <v>2488571.7938875472</v>
      </c>
      <c r="E111" s="49">
        <f>SUM(E105:E110)</f>
        <v>1064414</v>
      </c>
      <c r="F111" s="49">
        <f t="shared" ref="F111" si="80">SUM(F105:F110)</f>
        <v>1064414</v>
      </c>
      <c r="G111" s="49">
        <v>1064416.3333333335</v>
      </c>
      <c r="H111" s="49"/>
      <c r="I111" s="49"/>
      <c r="J111" s="49">
        <v>1064416.3333333335</v>
      </c>
      <c r="K111" s="49">
        <f t="shared" si="77"/>
        <v>1064416.3333333335</v>
      </c>
      <c r="L111" s="49">
        <f t="shared" si="62"/>
        <v>3193246.666666667</v>
      </c>
      <c r="M111" s="46"/>
      <c r="N111" s="44"/>
      <c r="O111" s="44">
        <v>1064416.3333333335</v>
      </c>
      <c r="P111" s="44">
        <f t="shared" si="51"/>
        <v>1064416.3333333335</v>
      </c>
      <c r="Q111" s="265"/>
      <c r="R111" s="44">
        <f t="shared" si="56"/>
        <v>1064416.3333333335</v>
      </c>
      <c r="S111" s="46"/>
      <c r="T111" s="482">
        <f>SUM(T105:T110)</f>
        <v>33192</v>
      </c>
      <c r="U111" s="482">
        <f t="shared" ref="U111:V111" si="81">SUM(U105:U110)</f>
        <v>0</v>
      </c>
      <c r="V111" s="482">
        <f t="shared" si="81"/>
        <v>1244590.5608113711</v>
      </c>
      <c r="W111" s="53">
        <f t="shared" si="78"/>
        <v>1244590.5608113711</v>
      </c>
      <c r="X111" s="53">
        <f t="shared" si="79"/>
        <v>1277782.5608113711</v>
      </c>
      <c r="Y111" s="488"/>
    </row>
    <row r="112" spans="1:25">
      <c r="A112" s="240">
        <f t="shared" si="57"/>
        <v>510</v>
      </c>
      <c r="B112" s="240" t="s">
        <v>788</v>
      </c>
      <c r="C112" s="195">
        <f>-C111</f>
        <v>-3487449</v>
      </c>
      <c r="D112" s="195">
        <v>-2488571.7938875472</v>
      </c>
      <c r="E112" s="195">
        <f t="shared" ref="E112:F112" si="82">-E111</f>
        <v>-1064414</v>
      </c>
      <c r="F112" s="195">
        <f t="shared" si="82"/>
        <v>-1064414</v>
      </c>
      <c r="G112" s="49">
        <v>-1064416.3333333335</v>
      </c>
      <c r="J112" s="195">
        <v>-1064416.3333333335</v>
      </c>
      <c r="K112" s="49">
        <f t="shared" si="77"/>
        <v>-1064416.3333333335</v>
      </c>
      <c r="L112" s="195">
        <f t="shared" si="62"/>
        <v>-3193246.666666667</v>
      </c>
      <c r="N112" s="196"/>
      <c r="O112" s="44">
        <v>-1064416.3333333335</v>
      </c>
      <c r="P112" s="196">
        <f t="shared" si="51"/>
        <v>-1064416.3333333335</v>
      </c>
      <c r="Q112" s="250"/>
      <c r="R112" s="196">
        <f t="shared" si="56"/>
        <v>-1064416.3333333335</v>
      </c>
      <c r="T112" s="482">
        <f>-T111</f>
        <v>-33192</v>
      </c>
      <c r="U112" s="482">
        <f t="shared" ref="U112:W112" si="83">-U111</f>
        <v>0</v>
      </c>
      <c r="V112" s="482">
        <f t="shared" si="83"/>
        <v>-1244590.5608113711</v>
      </c>
      <c r="W112" s="482">
        <f t="shared" si="83"/>
        <v>-1244590.5608113711</v>
      </c>
      <c r="X112" s="53">
        <f t="shared" si="79"/>
        <v>-1277782.5608113711</v>
      </c>
      <c r="Y112" s="488"/>
    </row>
    <row r="113" spans="1:170" s="547" customFormat="1" ht="14.65" thickBot="1">
      <c r="A113" s="348">
        <f t="shared" si="57"/>
        <v>511</v>
      </c>
      <c r="B113" s="348" t="s">
        <v>789</v>
      </c>
      <c r="C113" s="72">
        <f>+C47+C111+C112+C102+C94+C39+C30+C13+C78+C68+C58</f>
        <v>17246523.128209531</v>
      </c>
      <c r="D113" s="72">
        <f t="shared" ref="D113:F113" si="84">+D47+D111+D112+D102+D94+D39+D30+D13+D78+D68+D58</f>
        <v>16885196.778206419</v>
      </c>
      <c r="E113" s="72">
        <f t="shared" si="84"/>
        <v>5196559.666666666</v>
      </c>
      <c r="F113" s="72">
        <f t="shared" si="84"/>
        <v>5946762.3221864076</v>
      </c>
      <c r="G113" s="72">
        <f>+G47+G111+G112+G102+G94+G39+G30+G13+G78+G68+G58</f>
        <v>5050462.0747487349</v>
      </c>
      <c r="H113" s="72"/>
      <c r="I113" s="72">
        <f t="shared" ref="I113:K113" si="85">+I47+I111+I112+I102+I94+I39+I30+I13+I78+I68+I58</f>
        <v>91614</v>
      </c>
      <c r="J113" s="72">
        <f t="shared" si="85"/>
        <v>5683318.6238934696</v>
      </c>
      <c r="K113" s="72">
        <f t="shared" si="85"/>
        <v>5774932.6238934696</v>
      </c>
      <c r="L113" s="72">
        <f t="shared" si="62"/>
        <v>16021954.36530887</v>
      </c>
      <c r="M113" s="73"/>
      <c r="N113" s="74">
        <f t="shared" ref="N113:P113" si="86">+N47+N111+N112+N102+N94+N39+N30+N13+N78+N68+N58</f>
        <v>91614</v>
      </c>
      <c r="O113" s="74">
        <f t="shared" si="86"/>
        <v>6199833.0028398</v>
      </c>
      <c r="P113" s="74">
        <f t="shared" si="86"/>
        <v>6291447.0028398</v>
      </c>
      <c r="Q113" s="545"/>
      <c r="R113" s="74">
        <f t="shared" si="56"/>
        <v>6291447.0028398</v>
      </c>
      <c r="S113" s="73"/>
      <c r="T113" s="76">
        <f t="shared" ref="T113:Y113" si="87">+T47+T111+T112+T102+T94+T39+T30+T13+T78+T68+T58</f>
        <v>6266101.2829217138</v>
      </c>
      <c r="U113" s="76">
        <f t="shared" si="87"/>
        <v>113500</v>
      </c>
      <c r="V113" s="76">
        <f t="shared" si="87"/>
        <v>6340360.8321297169</v>
      </c>
      <c r="W113" s="76">
        <f t="shared" si="87"/>
        <v>6450860.8321297169</v>
      </c>
      <c r="X113" s="76">
        <f t="shared" si="87"/>
        <v>12716962.11505143</v>
      </c>
      <c r="Y113" s="546">
        <f t="shared" si="87"/>
        <v>0</v>
      </c>
      <c r="Z113" s="354"/>
      <c r="AA113" s="354"/>
      <c r="AB113" s="354"/>
      <c r="AC113" s="354"/>
      <c r="AD113" s="354"/>
      <c r="AE113" s="354"/>
      <c r="AF113" s="354"/>
      <c r="AG113" s="354"/>
      <c r="AH113" s="354"/>
      <c r="AI113" s="354"/>
      <c r="AJ113" s="354"/>
      <c r="AK113" s="354"/>
      <c r="AL113" s="354"/>
      <c r="AM113" s="354"/>
      <c r="AN113" s="354"/>
      <c r="AO113" s="354"/>
      <c r="AP113" s="354"/>
      <c r="AQ113" s="354"/>
      <c r="AR113" s="354"/>
      <c r="AS113" s="354"/>
      <c r="AT113" s="354"/>
      <c r="AU113" s="354"/>
      <c r="AV113" s="354"/>
      <c r="AW113" s="354"/>
      <c r="AX113" s="354"/>
      <c r="AY113" s="354"/>
      <c r="AZ113" s="354"/>
      <c r="BA113" s="354"/>
      <c r="BB113" s="354"/>
      <c r="BC113" s="354"/>
      <c r="BD113" s="354"/>
      <c r="BE113" s="354"/>
      <c r="BF113" s="354"/>
      <c r="BG113" s="354"/>
      <c r="BH113" s="354"/>
      <c r="BI113" s="354"/>
      <c r="BJ113" s="354"/>
      <c r="BK113" s="354"/>
      <c r="BL113" s="354"/>
      <c r="BM113" s="354"/>
      <c r="BN113" s="354"/>
      <c r="BO113" s="354"/>
      <c r="BP113" s="354"/>
      <c r="BQ113" s="354"/>
      <c r="BR113" s="354"/>
      <c r="BS113" s="354"/>
      <c r="BT113" s="354"/>
      <c r="BU113" s="354"/>
      <c r="BV113" s="354"/>
      <c r="BW113" s="354"/>
      <c r="BX113" s="354"/>
      <c r="BY113" s="354"/>
      <c r="BZ113" s="354"/>
      <c r="CA113" s="354"/>
      <c r="CB113" s="354"/>
      <c r="CC113" s="354"/>
      <c r="CD113" s="354"/>
      <c r="CE113" s="354"/>
      <c r="CF113" s="354"/>
      <c r="CG113" s="354"/>
      <c r="CH113" s="354"/>
      <c r="CI113" s="354"/>
      <c r="CJ113" s="354"/>
      <c r="CK113" s="354"/>
      <c r="CL113" s="354"/>
      <c r="CM113" s="354"/>
      <c r="CN113" s="354"/>
      <c r="CO113" s="354"/>
      <c r="CP113" s="354"/>
      <c r="CQ113" s="354"/>
      <c r="CR113" s="354"/>
      <c r="CS113" s="354"/>
      <c r="CT113" s="354"/>
      <c r="CU113" s="354"/>
      <c r="CV113" s="354"/>
      <c r="CW113" s="354"/>
      <c r="CX113" s="354"/>
      <c r="CY113" s="354"/>
      <c r="CZ113" s="354"/>
      <c r="DA113" s="354"/>
      <c r="DB113" s="354"/>
      <c r="DC113" s="354"/>
      <c r="DD113" s="354"/>
      <c r="DE113" s="354"/>
      <c r="DF113" s="354"/>
      <c r="DG113" s="354"/>
      <c r="DH113" s="354"/>
      <c r="DI113" s="354"/>
      <c r="DJ113" s="354"/>
      <c r="DK113" s="354"/>
      <c r="DL113" s="354"/>
      <c r="DM113" s="354"/>
      <c r="DN113" s="354"/>
      <c r="DO113" s="354"/>
      <c r="DP113" s="354"/>
      <c r="DQ113" s="354"/>
      <c r="DR113" s="354"/>
      <c r="DS113" s="354"/>
      <c r="DT113" s="354"/>
      <c r="DU113" s="354"/>
      <c r="DV113" s="354"/>
      <c r="DW113" s="354"/>
      <c r="DX113" s="354"/>
      <c r="DY113" s="354"/>
      <c r="DZ113" s="354"/>
      <c r="EA113" s="354"/>
      <c r="EB113" s="354"/>
      <c r="EC113" s="354"/>
      <c r="ED113" s="354"/>
      <c r="EE113" s="354"/>
      <c r="EF113" s="354"/>
      <c r="EG113" s="354"/>
      <c r="EH113" s="354"/>
      <c r="EI113" s="354"/>
      <c r="EJ113" s="354"/>
      <c r="EK113" s="354"/>
      <c r="EL113" s="354"/>
      <c r="EM113" s="354"/>
      <c r="EN113" s="354"/>
      <c r="EO113" s="354"/>
      <c r="EP113" s="354"/>
      <c r="EQ113" s="354"/>
      <c r="ER113" s="354"/>
      <c r="ES113" s="354"/>
      <c r="ET113" s="354"/>
      <c r="EU113" s="354"/>
      <c r="EV113" s="354"/>
      <c r="EW113" s="354"/>
      <c r="EX113" s="354"/>
      <c r="EY113" s="354"/>
      <c r="EZ113" s="354"/>
      <c r="FA113" s="354"/>
      <c r="FB113" s="354"/>
      <c r="FC113" s="354"/>
      <c r="FD113" s="354"/>
      <c r="FE113" s="354"/>
      <c r="FF113" s="354"/>
      <c r="FG113" s="354"/>
      <c r="FH113" s="354"/>
      <c r="FI113" s="354"/>
      <c r="FJ113" s="354"/>
      <c r="FK113" s="354"/>
      <c r="FL113" s="354"/>
      <c r="FM113" s="354"/>
      <c r="FN113" s="354"/>
    </row>
    <row r="114" spans="1:170" s="354" customFormat="1">
      <c r="A114" s="236"/>
      <c r="B114" s="236"/>
      <c r="C114" s="453"/>
      <c r="D114" s="453"/>
      <c r="E114" s="453"/>
      <c r="F114" s="453"/>
      <c r="G114" s="453"/>
      <c r="H114" s="453"/>
      <c r="I114" s="453"/>
      <c r="J114" s="453"/>
      <c r="K114" s="453"/>
      <c r="L114" s="453"/>
      <c r="M114" s="454"/>
      <c r="N114" s="453"/>
      <c r="O114" s="453"/>
      <c r="P114" s="453"/>
      <c r="Q114" s="548"/>
      <c r="R114" s="453"/>
      <c r="S114" s="454"/>
      <c r="Y114" s="549"/>
    </row>
    <row r="115" spans="1:170" s="354" customFormat="1">
      <c r="A115" s="236"/>
      <c r="B115" s="236"/>
      <c r="C115" s="453"/>
      <c r="D115" s="453"/>
      <c r="E115" s="453"/>
      <c r="F115" s="453">
        <f>SUBTOTAL(9,F10:F33)</f>
        <v>2346081.208754885</v>
      </c>
      <c r="G115" s="453"/>
      <c r="I115" s="453"/>
      <c r="J115" s="453"/>
      <c r="K115" s="453"/>
      <c r="L115" s="453"/>
      <c r="M115" s="454"/>
      <c r="N115" s="453"/>
      <c r="O115" s="453"/>
      <c r="P115" s="453"/>
      <c r="Q115" s="548"/>
      <c r="R115" s="453"/>
      <c r="S115" s="454"/>
      <c r="Y115" s="549"/>
    </row>
    <row r="116" spans="1:170" s="354" customFormat="1">
      <c r="A116" s="236"/>
      <c r="B116" s="236"/>
      <c r="C116" s="453"/>
      <c r="D116" s="453"/>
      <c r="E116" s="453"/>
      <c r="F116" s="453">
        <v>104333</v>
      </c>
      <c r="G116" s="453"/>
      <c r="H116" s="453"/>
      <c r="I116" s="453"/>
      <c r="J116" s="453"/>
      <c r="K116" s="453"/>
      <c r="L116" s="453"/>
      <c r="M116" s="454"/>
      <c r="N116" s="453"/>
      <c r="O116" s="453"/>
      <c r="P116" s="453"/>
      <c r="Q116" s="548"/>
      <c r="R116" s="453"/>
      <c r="S116" s="454"/>
      <c r="Y116" s="549"/>
    </row>
    <row r="117" spans="1:170" s="354" customFormat="1">
      <c r="A117" s="236"/>
      <c r="B117" s="236"/>
      <c r="C117" s="453"/>
      <c r="D117" s="453"/>
      <c r="E117" s="453"/>
      <c r="F117" s="453"/>
      <c r="G117" s="453"/>
      <c r="H117" s="453"/>
      <c r="I117" s="453"/>
      <c r="J117" s="453"/>
      <c r="K117" s="453"/>
      <c r="L117" s="453"/>
      <c r="M117" s="454"/>
      <c r="N117" s="453"/>
      <c r="O117" s="453"/>
      <c r="P117" s="453"/>
      <c r="Q117" s="548"/>
      <c r="R117" s="453"/>
      <c r="S117" s="454"/>
      <c r="Y117" s="549"/>
    </row>
    <row r="118" spans="1:170">
      <c r="C118" s="49"/>
      <c r="D118" s="49"/>
      <c r="E118" s="49"/>
      <c r="F118" s="49"/>
      <c r="G118" s="49"/>
      <c r="H118" s="49"/>
      <c r="I118" s="49"/>
      <c r="J118" s="49"/>
      <c r="K118" s="49"/>
      <c r="L118" s="49"/>
      <c r="M118" s="46"/>
      <c r="N118" s="49"/>
      <c r="O118" s="49"/>
      <c r="P118" s="49"/>
      <c r="Q118" s="445"/>
      <c r="R118" s="49"/>
      <c r="S118" s="46"/>
    </row>
    <row r="119" spans="1:170">
      <c r="C119" s="49"/>
      <c r="D119" s="49"/>
      <c r="E119" s="49"/>
      <c r="F119" s="49"/>
      <c r="G119" s="49"/>
      <c r="H119" s="49"/>
      <c r="I119" s="49"/>
      <c r="J119" s="49"/>
      <c r="K119" s="49"/>
      <c r="L119" s="49"/>
      <c r="M119" s="46"/>
      <c r="N119" s="49"/>
      <c r="O119" s="49"/>
      <c r="P119" s="49"/>
      <c r="Q119" s="445"/>
      <c r="R119" s="49"/>
      <c r="S119" s="46"/>
    </row>
    <row r="120" spans="1:170">
      <c r="C120" s="49"/>
      <c r="D120" s="49"/>
      <c r="E120" s="49"/>
      <c r="F120" s="49"/>
      <c r="G120" s="49"/>
      <c r="H120" s="49"/>
      <c r="I120" s="49"/>
      <c r="J120" s="49"/>
      <c r="K120" s="49"/>
      <c r="L120" s="49"/>
      <c r="M120" s="46"/>
      <c r="N120" s="49"/>
      <c r="O120" s="49"/>
      <c r="P120" s="49"/>
      <c r="Q120" s="445"/>
      <c r="R120" s="49"/>
      <c r="S120" s="46"/>
    </row>
    <row r="121" spans="1:170">
      <c r="C121" s="49"/>
      <c r="D121" s="49"/>
      <c r="E121" s="49"/>
      <c r="F121" s="49"/>
      <c r="G121" s="49"/>
      <c r="H121" s="49"/>
      <c r="I121" s="49"/>
      <c r="J121" s="49"/>
      <c r="K121" s="49"/>
      <c r="L121" s="49"/>
      <c r="M121" s="46"/>
      <c r="N121" s="49"/>
      <c r="O121" s="49"/>
      <c r="P121" s="49"/>
      <c r="Q121" s="445"/>
      <c r="R121" s="49"/>
      <c r="S121" s="46"/>
    </row>
    <row r="122" spans="1:170">
      <c r="C122" s="49"/>
      <c r="D122" s="49"/>
      <c r="E122" s="49"/>
      <c r="F122" s="49"/>
      <c r="G122" s="49"/>
      <c r="H122" s="49"/>
      <c r="I122" s="49"/>
      <c r="J122" s="49"/>
      <c r="K122" s="49"/>
      <c r="L122" s="49"/>
      <c r="M122" s="46"/>
      <c r="N122" s="49"/>
      <c r="O122" s="49"/>
      <c r="P122" s="49"/>
      <c r="Q122" s="445"/>
      <c r="R122" s="49"/>
      <c r="S122" s="46"/>
    </row>
    <row r="123" spans="1:170">
      <c r="C123" s="49"/>
      <c r="D123" s="49"/>
      <c r="E123" s="49"/>
      <c r="F123" s="49"/>
      <c r="G123" s="49"/>
      <c r="H123" s="49"/>
      <c r="I123" s="49"/>
      <c r="J123" s="49"/>
      <c r="K123" s="49"/>
      <c r="L123" s="49"/>
      <c r="M123" s="46"/>
      <c r="N123" s="49"/>
      <c r="O123" s="49"/>
      <c r="P123" s="49"/>
      <c r="Q123" s="445"/>
      <c r="R123" s="49"/>
      <c r="S123" s="46"/>
    </row>
    <row r="124" spans="1:170">
      <c r="C124" s="49"/>
      <c r="D124" s="49"/>
      <c r="E124" s="49"/>
      <c r="F124" s="49"/>
      <c r="G124" s="49"/>
      <c r="H124" s="49"/>
      <c r="I124" s="49"/>
      <c r="J124" s="49"/>
      <c r="K124" s="49"/>
      <c r="L124" s="49"/>
      <c r="M124" s="46"/>
      <c r="N124" s="49"/>
      <c r="O124" s="49"/>
      <c r="P124" s="49"/>
      <c r="Q124" s="445"/>
      <c r="R124" s="49"/>
      <c r="S124" s="46"/>
    </row>
    <row r="125" spans="1:170">
      <c r="C125" s="49"/>
      <c r="D125" s="49"/>
      <c r="E125" s="49"/>
      <c r="F125" s="49"/>
      <c r="G125" s="49"/>
      <c r="H125" s="49"/>
      <c r="I125" s="49"/>
      <c r="J125" s="49"/>
      <c r="K125" s="49"/>
      <c r="L125" s="49"/>
      <c r="M125" s="46"/>
      <c r="N125" s="49"/>
      <c r="O125" s="49"/>
      <c r="P125" s="49"/>
      <c r="Q125" s="445"/>
      <c r="R125" s="49"/>
      <c r="S125" s="46"/>
    </row>
    <row r="126" spans="1:170">
      <c r="C126" s="49"/>
      <c r="D126" s="49"/>
      <c r="E126" s="49"/>
      <c r="F126" s="49"/>
      <c r="G126" s="49"/>
      <c r="H126" s="49"/>
      <c r="I126" s="49"/>
      <c r="J126" s="49"/>
      <c r="K126" s="49"/>
      <c r="L126" s="49"/>
      <c r="M126" s="46"/>
      <c r="N126" s="49"/>
      <c r="O126" s="49"/>
      <c r="P126" s="49"/>
      <c r="Q126" s="445"/>
      <c r="R126" s="49"/>
      <c r="S126" s="46"/>
    </row>
    <row r="127" spans="1:170">
      <c r="C127" s="49"/>
      <c r="D127" s="49"/>
      <c r="E127" s="49"/>
      <c r="F127" s="49"/>
      <c r="G127" s="49"/>
      <c r="H127" s="49"/>
      <c r="I127" s="49"/>
      <c r="J127" s="49"/>
      <c r="K127" s="49"/>
      <c r="L127" s="49"/>
      <c r="M127" s="46"/>
      <c r="N127" s="49"/>
      <c r="O127" s="49"/>
      <c r="P127" s="49"/>
      <c r="Q127" s="445"/>
      <c r="R127" s="49"/>
      <c r="S127" s="46"/>
    </row>
    <row r="128" spans="1:170">
      <c r="C128" s="49"/>
      <c r="D128" s="49"/>
      <c r="E128" s="49"/>
      <c r="F128" s="49"/>
      <c r="G128" s="49"/>
      <c r="H128" s="49"/>
      <c r="I128" s="49"/>
      <c r="J128" s="49"/>
      <c r="K128" s="49"/>
      <c r="L128" s="49"/>
      <c r="M128" s="46"/>
      <c r="N128" s="49"/>
      <c r="O128" s="49"/>
      <c r="P128" s="49"/>
      <c r="Q128" s="445"/>
      <c r="R128" s="49"/>
      <c r="S128" s="46"/>
    </row>
    <row r="129" spans="1:19">
      <c r="C129" s="49"/>
      <c r="D129" s="49"/>
      <c r="E129" s="49"/>
      <c r="F129" s="49"/>
      <c r="G129" s="49"/>
      <c r="H129" s="49"/>
      <c r="I129" s="49"/>
      <c r="J129" s="49"/>
      <c r="K129" s="49"/>
      <c r="L129" s="49"/>
      <c r="M129" s="46"/>
      <c r="N129" s="49"/>
      <c r="O129" s="49"/>
      <c r="P129" s="49"/>
      <c r="Q129" s="445"/>
      <c r="R129" s="49"/>
      <c r="S129" s="46"/>
    </row>
    <row r="130" spans="1:19">
      <c r="C130" s="49"/>
      <c r="D130" s="49"/>
      <c r="E130" s="49"/>
      <c r="F130" s="49"/>
      <c r="G130" s="49"/>
      <c r="H130" s="49"/>
      <c r="I130" s="49"/>
      <c r="J130" s="49"/>
      <c r="K130" s="49"/>
      <c r="L130" s="49"/>
      <c r="M130" s="46"/>
      <c r="N130" s="49"/>
      <c r="O130" s="49"/>
      <c r="P130" s="49"/>
      <c r="Q130" s="445"/>
      <c r="R130" s="49"/>
      <c r="S130" s="46"/>
    </row>
    <row r="131" spans="1:19">
      <c r="C131" s="49"/>
      <c r="D131" s="49"/>
      <c r="E131" s="49"/>
      <c r="F131" s="49"/>
      <c r="G131" s="49"/>
      <c r="H131" s="49"/>
      <c r="I131" s="49"/>
      <c r="J131" s="49"/>
      <c r="K131" s="49"/>
      <c r="L131" s="49"/>
      <c r="M131" s="46"/>
      <c r="N131" s="49"/>
      <c r="O131" s="49"/>
      <c r="P131" s="49"/>
      <c r="Q131" s="445"/>
      <c r="R131" s="49"/>
      <c r="S131" s="46"/>
    </row>
    <row r="132" spans="1:19">
      <c r="C132" s="49"/>
      <c r="D132" s="49"/>
      <c r="E132" s="49"/>
      <c r="F132" s="49"/>
      <c r="G132" s="49"/>
      <c r="H132" s="49"/>
      <c r="I132" s="49"/>
      <c r="J132" s="49"/>
      <c r="K132" s="49"/>
      <c r="L132" s="49"/>
      <c r="M132" s="46"/>
      <c r="N132" s="49"/>
      <c r="O132" s="49"/>
      <c r="P132" s="49"/>
      <c r="Q132" s="445"/>
      <c r="R132" s="49"/>
      <c r="S132" s="46"/>
    </row>
    <row r="133" spans="1:19">
      <c r="C133" s="49"/>
      <c r="D133" s="49"/>
      <c r="E133" s="49"/>
      <c r="F133" s="49"/>
      <c r="G133" s="49"/>
      <c r="H133" s="49"/>
      <c r="I133" s="49"/>
      <c r="J133" s="49"/>
      <c r="K133" s="49"/>
      <c r="L133" s="49"/>
      <c r="M133" s="46"/>
      <c r="N133" s="49"/>
      <c r="O133" s="49"/>
      <c r="P133" s="49"/>
      <c r="Q133" s="445"/>
      <c r="R133" s="49"/>
      <c r="S133" s="46"/>
    </row>
    <row r="134" spans="1:19">
      <c r="C134" s="49"/>
      <c r="D134" s="49"/>
      <c r="E134" s="49"/>
      <c r="F134" s="49"/>
      <c r="G134" s="49"/>
      <c r="H134" s="49"/>
      <c r="I134" s="49"/>
      <c r="J134" s="49"/>
      <c r="K134" s="49"/>
      <c r="L134" s="49"/>
      <c r="M134" s="46"/>
      <c r="N134" s="49"/>
      <c r="O134" s="49"/>
      <c r="P134" s="49"/>
      <c r="Q134" s="445"/>
      <c r="R134" s="49"/>
      <c r="S134" s="46"/>
    </row>
    <row r="135" spans="1:19">
      <c r="C135" s="49"/>
      <c r="D135" s="49"/>
      <c r="E135" s="49"/>
      <c r="F135" s="49"/>
      <c r="G135" s="49"/>
      <c r="H135" s="49"/>
      <c r="I135" s="49"/>
      <c r="J135" s="49"/>
      <c r="K135" s="49"/>
      <c r="L135" s="49"/>
      <c r="M135" s="46"/>
      <c r="N135" s="49"/>
      <c r="O135" s="49"/>
      <c r="P135" s="49"/>
      <c r="Q135" s="445"/>
      <c r="R135" s="49"/>
      <c r="S135" s="46"/>
    </row>
    <row r="136" spans="1:19">
      <c r="C136" s="49"/>
      <c r="D136" s="49"/>
      <c r="E136" s="49"/>
      <c r="F136" s="49"/>
      <c r="G136" s="49"/>
      <c r="H136" s="49"/>
      <c r="I136" s="49"/>
      <c r="J136" s="49"/>
      <c r="K136" s="49"/>
      <c r="L136" s="49"/>
      <c r="M136" s="46"/>
      <c r="N136" s="49"/>
      <c r="O136" s="49"/>
      <c r="P136" s="49"/>
      <c r="Q136" s="445"/>
      <c r="R136" s="49"/>
      <c r="S136" s="46"/>
    </row>
    <row r="137" spans="1:19">
      <c r="C137" s="49"/>
      <c r="D137" s="49"/>
      <c r="E137" s="49"/>
      <c r="F137" s="49"/>
      <c r="G137" s="49"/>
      <c r="H137" s="49"/>
      <c r="I137" s="49"/>
      <c r="J137" s="49"/>
      <c r="K137" s="49"/>
      <c r="L137" s="49"/>
      <c r="M137" s="46"/>
      <c r="N137" s="49"/>
      <c r="O137" s="49"/>
      <c r="P137" s="49"/>
      <c r="Q137" s="445"/>
      <c r="R137" s="49"/>
      <c r="S137" s="46"/>
    </row>
    <row r="138" spans="1:19">
      <c r="C138" s="49"/>
      <c r="D138" s="49"/>
      <c r="E138" s="49"/>
      <c r="F138" s="49"/>
      <c r="G138" s="49"/>
      <c r="H138" s="49"/>
      <c r="I138" s="49"/>
      <c r="J138" s="49"/>
      <c r="K138" s="49"/>
      <c r="L138" s="49"/>
      <c r="M138" s="46"/>
      <c r="N138" s="49"/>
      <c r="O138" s="49"/>
      <c r="P138" s="49"/>
      <c r="Q138" s="445"/>
      <c r="R138" s="49"/>
      <c r="S138" s="46"/>
    </row>
    <row r="139" spans="1:19">
      <c r="C139" s="49"/>
      <c r="D139" s="49"/>
      <c r="E139" s="49"/>
      <c r="F139" s="49"/>
      <c r="G139" s="49"/>
      <c r="H139" s="49"/>
      <c r="I139" s="49"/>
      <c r="J139" s="49"/>
      <c r="K139" s="49"/>
      <c r="L139" s="49"/>
      <c r="M139" s="46"/>
      <c r="N139" s="49"/>
      <c r="O139" s="49"/>
      <c r="P139" s="49"/>
      <c r="Q139" s="445"/>
      <c r="R139" s="49"/>
      <c r="S139" s="46"/>
    </row>
    <row r="140" spans="1:19">
      <c r="C140" s="49"/>
      <c r="D140" s="49"/>
      <c r="E140" s="49"/>
      <c r="F140" s="49"/>
      <c r="G140" s="49"/>
      <c r="H140" s="49"/>
      <c r="I140" s="49"/>
      <c r="J140" s="49"/>
      <c r="K140" s="49"/>
      <c r="L140" s="49"/>
      <c r="M140" s="46"/>
      <c r="N140" s="49"/>
      <c r="O140" s="49"/>
      <c r="P140" s="49"/>
      <c r="Q140" s="445"/>
      <c r="R140" s="49"/>
      <c r="S140" s="46"/>
    </row>
    <row r="142" spans="1:19">
      <c r="G142" s="195">
        <f>F142</f>
        <v>0</v>
      </c>
    </row>
    <row r="144" spans="1:19">
      <c r="A144" s="345"/>
      <c r="B144" s="345"/>
      <c r="C144" s="214"/>
      <c r="D144" s="214"/>
      <c r="E144" s="214"/>
      <c r="F144" s="214"/>
      <c r="G144" s="214"/>
      <c r="H144" s="214"/>
      <c r="I144" s="214"/>
      <c r="J144" s="214"/>
      <c r="K144" s="214"/>
      <c r="L144" s="214"/>
      <c r="M144" s="216"/>
      <c r="N144" s="214"/>
      <c r="O144" s="214"/>
      <c r="P144" s="214"/>
      <c r="Q144" s="446"/>
      <c r="R144" s="214"/>
      <c r="S144" s="216"/>
    </row>
    <row r="145" spans="1:19">
      <c r="A145" s="345"/>
      <c r="B145" s="345"/>
      <c r="C145" s="214"/>
      <c r="D145" s="214"/>
      <c r="E145" s="214"/>
      <c r="F145" s="214"/>
      <c r="G145" s="214"/>
      <c r="H145" s="214"/>
      <c r="I145" s="214"/>
      <c r="J145" s="214"/>
      <c r="K145" s="214"/>
      <c r="L145" s="214"/>
      <c r="M145" s="216"/>
      <c r="N145" s="214"/>
      <c r="O145" s="214"/>
      <c r="P145" s="214"/>
      <c r="Q145" s="446"/>
      <c r="R145" s="214"/>
      <c r="S145" s="216"/>
    </row>
    <row r="146" spans="1:19">
      <c r="A146" s="345"/>
      <c r="B146" s="345"/>
      <c r="C146" s="214"/>
      <c r="D146" s="214"/>
      <c r="E146" s="214"/>
      <c r="F146" s="214"/>
      <c r="G146" s="214"/>
      <c r="H146" s="214"/>
      <c r="I146" s="214"/>
      <c r="J146" s="214"/>
      <c r="K146" s="214"/>
      <c r="L146" s="214"/>
      <c r="M146" s="216"/>
      <c r="N146" s="214"/>
      <c r="O146" s="214"/>
      <c r="P146" s="214"/>
      <c r="Q146" s="446"/>
      <c r="R146" s="214"/>
      <c r="S146" s="216"/>
    </row>
    <row r="147" spans="1:19">
      <c r="A147" s="345"/>
      <c r="B147" s="345"/>
      <c r="C147" s="214"/>
      <c r="D147" s="214"/>
      <c r="E147" s="214"/>
      <c r="F147" s="214"/>
      <c r="G147" s="214"/>
      <c r="H147" s="214"/>
      <c r="I147" s="214"/>
      <c r="J147" s="214"/>
      <c r="K147" s="214"/>
      <c r="L147" s="214"/>
      <c r="M147" s="216"/>
      <c r="N147" s="214"/>
      <c r="O147" s="214"/>
      <c r="P147" s="214"/>
      <c r="Q147" s="446"/>
      <c r="R147" s="214"/>
      <c r="S147" s="216"/>
    </row>
    <row r="148" spans="1:19">
      <c r="A148" s="345"/>
      <c r="B148" s="345"/>
      <c r="C148" s="222"/>
      <c r="D148" s="222"/>
      <c r="E148" s="222"/>
      <c r="F148" s="222"/>
      <c r="G148" s="222"/>
      <c r="H148" s="222"/>
      <c r="I148" s="222"/>
      <c r="J148" s="222"/>
      <c r="K148" s="222"/>
      <c r="L148" s="222"/>
      <c r="M148" s="355"/>
      <c r="N148" s="222"/>
      <c r="O148" s="222"/>
      <c r="P148" s="222"/>
      <c r="R148" s="222"/>
      <c r="S148" s="355"/>
    </row>
    <row r="149" spans="1:19">
      <c r="A149" s="345"/>
      <c r="B149" s="345"/>
      <c r="C149" s="222"/>
      <c r="D149" s="222"/>
      <c r="E149" s="222"/>
      <c r="F149" s="222"/>
      <c r="G149" s="222"/>
      <c r="H149" s="222"/>
      <c r="I149" s="222"/>
      <c r="J149" s="222"/>
      <c r="K149" s="222"/>
      <c r="L149" s="222"/>
      <c r="M149" s="355"/>
      <c r="N149" s="222"/>
      <c r="O149" s="222"/>
      <c r="P149" s="222"/>
      <c r="R149" s="222"/>
      <c r="S149" s="355"/>
    </row>
    <row r="150" spans="1:19">
      <c r="C150" s="214"/>
      <c r="D150" s="214"/>
      <c r="E150" s="214"/>
      <c r="F150" s="214"/>
      <c r="G150" s="214"/>
      <c r="H150" s="214"/>
      <c r="I150" s="214"/>
      <c r="J150" s="214"/>
      <c r="K150" s="214"/>
      <c r="L150" s="214"/>
      <c r="M150" s="216"/>
      <c r="N150" s="214"/>
      <c r="O150" s="214"/>
      <c r="P150" s="214"/>
      <c r="Q150" s="446"/>
      <c r="R150" s="214"/>
      <c r="S150" s="216"/>
    </row>
    <row r="151" spans="1:19">
      <c r="C151" s="214"/>
      <c r="D151" s="214"/>
      <c r="E151" s="214"/>
      <c r="F151" s="214"/>
      <c r="G151" s="214"/>
      <c r="H151" s="214"/>
      <c r="I151" s="214"/>
      <c r="J151" s="214"/>
      <c r="K151" s="214"/>
      <c r="L151" s="214"/>
      <c r="M151" s="216"/>
      <c r="N151" s="214"/>
      <c r="O151" s="214"/>
      <c r="P151" s="214"/>
      <c r="Q151" s="446"/>
      <c r="R151" s="214"/>
      <c r="S151" s="216"/>
    </row>
    <row r="167" spans="7:7">
      <c r="G167" s="195">
        <f>F167</f>
        <v>0</v>
      </c>
    </row>
    <row r="172" spans="7:7">
      <c r="G172" s="195">
        <f>F172</f>
        <v>0</v>
      </c>
    </row>
    <row r="173" spans="7:7">
      <c r="G173" s="195">
        <f>F173</f>
        <v>0</v>
      </c>
    </row>
    <row r="176" spans="7:7">
      <c r="G176" s="195">
        <f>F176</f>
        <v>0</v>
      </c>
    </row>
    <row r="177" spans="7:7">
      <c r="G177" s="195">
        <f>F177</f>
        <v>0</v>
      </c>
    </row>
    <row r="180" spans="7:7">
      <c r="G180" s="195">
        <f>F180</f>
        <v>0</v>
      </c>
    </row>
    <row r="181" spans="7:7">
      <c r="G181" s="195">
        <f>F181</f>
        <v>0</v>
      </c>
    </row>
    <row r="182" spans="7:7">
      <c r="G182" s="195">
        <f>F182</f>
        <v>0</v>
      </c>
    </row>
    <row r="183" spans="7:7">
      <c r="G183" s="195">
        <f>F183</f>
        <v>0</v>
      </c>
    </row>
  </sheetData>
  <autoFilter ref="A5:Q113" xr:uid="{AB0147FA-24F2-43F8-A0E9-F1457DAD998B}"/>
  <printOptions horizontalCentered="1" headings="1" gridLines="1"/>
  <pageMargins left="0.25" right="0.25" top="0.75" bottom="0.25" header="0.25" footer="0.25"/>
  <pageSetup scale="50" fitToHeight="4" orientation="landscape" r:id="rId1"/>
  <headerFooter>
    <oddFooter>Page &amp;P of &amp;N</oddFooter>
  </headerFooter>
  <rowBreaks count="1" manualBreakCount="1">
    <brk id="48" max="24" man="1"/>
  </rowBreaks>
  <colBreaks count="1" manualBreakCount="1">
    <brk id="17" max="1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AA100-2912-4AA4-BDAC-61F4F704692C}">
  <sheetPr>
    <tabColor rgb="FF00B050"/>
    <pageSetUpPr fitToPage="1"/>
  </sheetPr>
  <dimension ref="A1:FB172"/>
  <sheetViews>
    <sheetView view="pageBreakPreview" zoomScale="75" zoomScaleNormal="75" zoomScaleSheetLayoutView="75" workbookViewId="0">
      <pane xSplit="10" ySplit="5" topLeftCell="K38" activePane="bottomRight" state="frozen"/>
      <selection activeCell="B23" sqref="B23"/>
      <selection pane="topRight" activeCell="B23" sqref="B23"/>
      <selection pane="bottomLeft" activeCell="B23" sqref="B23"/>
      <selection pane="bottomRight" activeCell="B23" sqref="B23"/>
    </sheetView>
  </sheetViews>
  <sheetFormatPr defaultColWidth="10.625" defaultRowHeight="15.75"/>
  <cols>
    <col min="1" max="1" width="10.625" style="423" customWidth="1"/>
    <col min="2" max="2" width="39" style="362" customWidth="1"/>
    <col min="3" max="3" width="15.125" style="69" hidden="1" customWidth="1"/>
    <col min="4" max="4" width="16.125" style="69" hidden="1" customWidth="1"/>
    <col min="5" max="5" width="14.25" style="69" hidden="1" customWidth="1"/>
    <col min="6" max="6" width="14.75" style="69" hidden="1" customWidth="1"/>
    <col min="7" max="7" width="12.875" style="69" hidden="1" customWidth="1"/>
    <col min="8" max="8" width="15.25" style="211" hidden="1" customWidth="1"/>
    <col min="9" max="9" width="15.25" style="69" hidden="1" customWidth="1"/>
    <col min="10" max="10" width="15.25" style="69" customWidth="1"/>
    <col min="11" max="11" width="13.5" style="69" customWidth="1"/>
    <col min="12" max="12" width="12.25" style="69" hidden="1" customWidth="1"/>
    <col min="13" max="13" width="5.5" style="212" customWidth="1"/>
    <col min="14" max="14" width="10.5" style="69" customWidth="1"/>
    <col min="15" max="15" width="10.625" style="69" customWidth="1"/>
    <col min="16" max="16" width="17.75" style="69" customWidth="1"/>
    <col min="17" max="17" width="51.125" style="361" customWidth="1"/>
    <col min="18" max="18" width="17.75" style="69" customWidth="1"/>
    <col min="19" max="19" width="6.125" style="212" hidden="1" customWidth="1"/>
    <col min="20" max="20" width="20.875" style="362" hidden="1" customWidth="1"/>
    <col min="21" max="21" width="18" style="362" hidden="1" customWidth="1"/>
    <col min="22" max="22" width="20.375" style="362" hidden="1" customWidth="1"/>
    <col min="23" max="23" width="14.5" style="362" hidden="1" customWidth="1"/>
    <col min="24" max="24" width="19.875" style="362" hidden="1" customWidth="1"/>
    <col min="25" max="25" width="51.75" style="362" hidden="1" customWidth="1"/>
    <col min="26" max="16384" width="10.625" style="362"/>
  </cols>
  <sheetData>
    <row r="1" spans="1:26" s="9" customFormat="1" ht="16.350000000000001" customHeight="1">
      <c r="A1" s="1" t="s">
        <v>0</v>
      </c>
      <c r="C1" s="3"/>
      <c r="D1" s="3"/>
      <c r="E1" s="3"/>
      <c r="F1" s="3"/>
      <c r="G1" s="162"/>
      <c r="H1" s="163"/>
      <c r="I1" s="3"/>
      <c r="J1" s="3"/>
      <c r="K1" s="3"/>
      <c r="L1" s="3"/>
      <c r="M1" s="447"/>
      <c r="N1" s="357"/>
      <c r="O1" s="357"/>
      <c r="P1" s="11"/>
      <c r="Q1" s="358" t="s">
        <v>1</v>
      </c>
      <c r="R1" s="11"/>
      <c r="S1" s="550"/>
      <c r="X1" s="11"/>
      <c r="Y1" s="358" t="s">
        <v>1</v>
      </c>
    </row>
    <row r="2" spans="1:26" s="9" customFormat="1" ht="16.350000000000001" customHeight="1">
      <c r="A2" s="10" t="s">
        <v>1123</v>
      </c>
      <c r="B2" s="4"/>
      <c r="C2" s="4"/>
      <c r="D2" s="4"/>
      <c r="E2" s="4"/>
      <c r="F2" s="4"/>
      <c r="G2" s="162"/>
      <c r="H2" s="163"/>
      <c r="I2" s="4"/>
      <c r="J2" s="4"/>
      <c r="K2" s="4"/>
      <c r="L2" s="4"/>
      <c r="M2" s="357"/>
      <c r="N2" s="357"/>
      <c r="O2" s="357"/>
      <c r="P2" s="11"/>
      <c r="Q2" s="360" t="s">
        <v>2</v>
      </c>
      <c r="R2" s="11"/>
      <c r="S2" s="550"/>
      <c r="X2" s="11"/>
      <c r="Y2" s="699"/>
    </row>
    <row r="3" spans="1:26" s="551" customFormat="1" ht="16.350000000000001" customHeight="1">
      <c r="A3" s="551" t="s">
        <v>790</v>
      </c>
      <c r="B3" s="552"/>
      <c r="C3" s="552"/>
      <c r="D3" s="10"/>
      <c r="E3" s="552"/>
      <c r="F3" s="552"/>
      <c r="G3" s="162"/>
      <c r="H3" s="163"/>
      <c r="I3" s="552"/>
      <c r="J3" s="552"/>
      <c r="K3" s="552"/>
      <c r="L3" s="552"/>
      <c r="M3" s="553"/>
      <c r="N3" s="552"/>
      <c r="O3" s="552"/>
      <c r="P3" s="552"/>
      <c r="Q3" s="702"/>
      <c r="R3" s="552"/>
      <c r="S3" s="553"/>
      <c r="Y3" s="702"/>
      <c r="Z3" s="554" t="s">
        <v>4</v>
      </c>
    </row>
    <row r="4" spans="1:26" s="154" customFormat="1" ht="18" customHeight="1" thickBot="1">
      <c r="A4" s="555"/>
      <c r="C4" s="364"/>
      <c r="D4" s="364"/>
      <c r="E4" s="364"/>
      <c r="F4" s="364"/>
      <c r="G4" s="364"/>
      <c r="H4" s="365"/>
      <c r="I4" s="364"/>
      <c r="J4" s="364"/>
      <c r="K4" s="364"/>
      <c r="L4" s="364"/>
      <c r="M4" s="366"/>
      <c r="N4" s="364"/>
      <c r="O4" s="364"/>
      <c r="P4" s="364"/>
      <c r="Q4" s="367"/>
      <c r="R4" s="364"/>
      <c r="S4" s="366"/>
    </row>
    <row r="5" spans="1:26" s="160" customFormat="1" ht="62.65" customHeight="1" thickBot="1">
      <c r="A5" s="19" t="s">
        <v>5</v>
      </c>
      <c r="B5" s="20" t="s">
        <v>6</v>
      </c>
      <c r="C5" s="21" t="s">
        <v>7</v>
      </c>
      <c r="D5" s="22" t="s">
        <v>8</v>
      </c>
      <c r="E5" s="23" t="s">
        <v>9</v>
      </c>
      <c r="F5" s="23" t="s">
        <v>10</v>
      </c>
      <c r="G5" s="155" t="s">
        <v>11</v>
      </c>
      <c r="H5" s="23" t="s">
        <v>12</v>
      </c>
      <c r="I5" s="25" t="s">
        <v>135</v>
      </c>
      <c r="J5" s="25" t="s">
        <v>136</v>
      </c>
      <c r="K5" s="25" t="s">
        <v>15</v>
      </c>
      <c r="L5" s="25" t="s">
        <v>16</v>
      </c>
      <c r="M5" s="26"/>
      <c r="N5" s="156" t="s">
        <v>17</v>
      </c>
      <c r="O5" s="156" t="s">
        <v>18</v>
      </c>
      <c r="P5" s="156" t="s">
        <v>19</v>
      </c>
      <c r="Q5" s="156" t="s">
        <v>137</v>
      </c>
      <c r="R5" s="156" t="s">
        <v>19</v>
      </c>
      <c r="S5" s="157"/>
      <c r="T5" s="158" t="s">
        <v>138</v>
      </c>
      <c r="U5" s="158" t="s">
        <v>139</v>
      </c>
      <c r="V5" s="158" t="s">
        <v>23</v>
      </c>
      <c r="W5" s="158" t="s">
        <v>24</v>
      </c>
      <c r="X5" s="158" t="s">
        <v>25</v>
      </c>
      <c r="Y5" s="556" t="s">
        <v>26</v>
      </c>
    </row>
    <row r="6" spans="1:26">
      <c r="F6" s="162"/>
      <c r="G6" s="162"/>
      <c r="H6" s="163"/>
      <c r="I6" s="162"/>
      <c r="J6" s="162"/>
      <c r="K6" s="162"/>
      <c r="L6" s="162"/>
      <c r="M6" s="164"/>
      <c r="N6" s="165"/>
      <c r="O6" s="165"/>
      <c r="P6" s="165"/>
      <c r="Q6" s="378"/>
      <c r="R6" s="165"/>
      <c r="S6" s="164"/>
      <c r="T6" s="379"/>
      <c r="U6" s="379"/>
      <c r="V6" s="379"/>
      <c r="W6" s="379"/>
      <c r="X6" s="379"/>
      <c r="Y6" s="379"/>
    </row>
    <row r="7" spans="1:26">
      <c r="A7" s="557">
        <f>'MISSION BEYOND'!A113+1</f>
        <v>512</v>
      </c>
      <c r="B7" s="369" t="s">
        <v>791</v>
      </c>
      <c r="F7" s="162"/>
      <c r="G7" s="162"/>
      <c r="H7" s="163"/>
      <c r="I7" s="162"/>
      <c r="J7" s="162"/>
      <c r="K7" s="162"/>
      <c r="L7" s="162"/>
      <c r="M7" s="164"/>
      <c r="N7" s="165"/>
      <c r="O7" s="165"/>
      <c r="P7" s="165">
        <f t="shared" ref="P7:P61" si="0">N7+O7</f>
        <v>0</v>
      </c>
      <c r="Q7" s="378"/>
      <c r="R7" s="165">
        <f>P7</f>
        <v>0</v>
      </c>
      <c r="S7" s="164"/>
      <c r="T7" s="379"/>
      <c r="U7" s="379"/>
      <c r="V7" s="379"/>
      <c r="W7" s="379"/>
      <c r="X7" s="379"/>
      <c r="Y7" s="379"/>
    </row>
    <row r="8" spans="1:26" ht="61.5" customHeight="1">
      <c r="A8" s="423" t="s">
        <v>1118</v>
      </c>
      <c r="B8" s="558" t="s">
        <v>792</v>
      </c>
      <c r="C8" s="162">
        <f>185000+2368500</f>
        <v>2553500</v>
      </c>
      <c r="D8" s="162">
        <v>2183000</v>
      </c>
      <c r="E8" s="69">
        <v>127241</v>
      </c>
      <c r="F8" s="69">
        <v>325000</v>
      </c>
      <c r="G8" s="559">
        <v>325000</v>
      </c>
      <c r="H8" s="211" t="s">
        <v>793</v>
      </c>
      <c r="I8" s="162">
        <v>1733000</v>
      </c>
      <c r="J8" s="162"/>
      <c r="K8" s="162"/>
      <c r="L8" s="49">
        <f t="shared" ref="L8:L13" si="1">E8+G8+K8</f>
        <v>452241</v>
      </c>
      <c r="M8" s="164"/>
      <c r="N8" s="165">
        <f>1733000+225000</f>
        <v>1958000</v>
      </c>
      <c r="O8" s="165">
        <v>100000</v>
      </c>
      <c r="P8" s="165">
        <f t="shared" si="0"/>
        <v>2058000</v>
      </c>
      <c r="Q8" s="378" t="s">
        <v>794</v>
      </c>
      <c r="R8" s="165">
        <f t="shared" ref="R8:R62" si="2">P8</f>
        <v>2058000</v>
      </c>
      <c r="S8" s="164"/>
      <c r="T8" s="379">
        <v>345000</v>
      </c>
      <c r="U8" s="379">
        <v>2148000</v>
      </c>
      <c r="V8" s="379"/>
      <c r="W8" s="53">
        <v>2148000</v>
      </c>
      <c r="X8" s="53">
        <f t="shared" ref="X8:X26" si="3">T8+W8</f>
        <v>2493000</v>
      </c>
      <c r="Y8" s="380" t="s">
        <v>795</v>
      </c>
    </row>
    <row r="9" spans="1:26" ht="36.85" customHeight="1">
      <c r="A9" s="423" t="s">
        <v>1119</v>
      </c>
      <c r="B9" s="558" t="s">
        <v>1120</v>
      </c>
      <c r="C9" s="162"/>
      <c r="D9" s="162"/>
      <c r="G9" s="559"/>
      <c r="I9" s="162"/>
      <c r="J9" s="162"/>
      <c r="K9" s="162"/>
      <c r="L9" s="49"/>
      <c r="M9" s="164"/>
      <c r="N9" s="165"/>
      <c r="O9" s="165"/>
      <c r="P9" s="165"/>
      <c r="Q9" s="378"/>
      <c r="R9" s="165">
        <v>0</v>
      </c>
      <c r="S9" s="164"/>
      <c r="T9" s="379"/>
      <c r="U9" s="379"/>
      <c r="V9" s="379">
        <v>30000</v>
      </c>
      <c r="W9" s="53">
        <f t="shared" ref="W9:W26" si="4">U9+V9</f>
        <v>30000</v>
      </c>
      <c r="X9" s="53">
        <f t="shared" si="3"/>
        <v>30000</v>
      </c>
      <c r="Y9" s="380" t="s">
        <v>1121</v>
      </c>
    </row>
    <row r="10" spans="1:26" ht="73.349999999999994" customHeight="1">
      <c r="A10" s="423">
        <v>514</v>
      </c>
      <c r="B10" s="424" t="s">
        <v>796</v>
      </c>
      <c r="C10" s="162">
        <v>1079438</v>
      </c>
      <c r="D10" s="162">
        <v>1322500</v>
      </c>
      <c r="E10" s="69">
        <v>378091</v>
      </c>
      <c r="F10" s="69">
        <v>505500</v>
      </c>
      <c r="G10" s="69">
        <v>397500</v>
      </c>
      <c r="H10" s="211" t="s">
        <v>797</v>
      </c>
      <c r="I10" s="162"/>
      <c r="J10" s="162">
        <v>477000</v>
      </c>
      <c r="K10" s="162">
        <f>J10</f>
        <v>477000</v>
      </c>
      <c r="L10" s="49">
        <f t="shared" si="1"/>
        <v>1252591</v>
      </c>
      <c r="M10" s="164"/>
      <c r="N10" s="165"/>
      <c r="O10" s="165">
        <v>537625</v>
      </c>
      <c r="P10" s="165">
        <f t="shared" si="0"/>
        <v>537625</v>
      </c>
      <c r="Q10" s="378"/>
      <c r="R10" s="165">
        <f t="shared" si="2"/>
        <v>537625</v>
      </c>
      <c r="S10" s="164"/>
      <c r="T10" s="379">
        <v>569125</v>
      </c>
      <c r="U10" s="379"/>
      <c r="V10" s="379">
        <v>499875</v>
      </c>
      <c r="W10" s="53">
        <f t="shared" si="4"/>
        <v>499875</v>
      </c>
      <c r="X10" s="53">
        <f t="shared" si="3"/>
        <v>1069000</v>
      </c>
      <c r="Y10" s="380" t="s">
        <v>798</v>
      </c>
    </row>
    <row r="11" spans="1:26">
      <c r="A11" s="423" t="s">
        <v>799</v>
      </c>
      <c r="B11" s="424" t="s">
        <v>153</v>
      </c>
      <c r="C11" s="162"/>
      <c r="D11" s="162">
        <v>0</v>
      </c>
      <c r="I11" s="162"/>
      <c r="J11" s="162"/>
      <c r="K11" s="162"/>
      <c r="L11" s="49"/>
      <c r="M11" s="164"/>
      <c r="N11" s="165"/>
      <c r="O11" s="165"/>
      <c r="P11" s="165">
        <f t="shared" si="0"/>
        <v>0</v>
      </c>
      <c r="Q11" s="560"/>
      <c r="R11" s="165">
        <f t="shared" si="2"/>
        <v>0</v>
      </c>
      <c r="S11" s="164"/>
      <c r="T11" s="379"/>
      <c r="U11" s="379"/>
      <c r="V11" s="379"/>
      <c r="W11" s="53">
        <f t="shared" si="4"/>
        <v>0</v>
      </c>
      <c r="X11" s="53">
        <f t="shared" si="3"/>
        <v>0</v>
      </c>
      <c r="Y11" s="379"/>
    </row>
    <row r="12" spans="1:26" ht="37.15" customHeight="1">
      <c r="A12" s="423">
        <v>519</v>
      </c>
      <c r="B12" s="424" t="s">
        <v>800</v>
      </c>
      <c r="C12" s="162">
        <f>1100000+300000</f>
        <v>1400000</v>
      </c>
      <c r="D12" s="162">
        <v>1560000</v>
      </c>
      <c r="E12" s="69">
        <v>347815</v>
      </c>
      <c r="F12" s="69">
        <v>950000</v>
      </c>
      <c r="G12" s="69">
        <v>630000</v>
      </c>
      <c r="H12" s="211" t="s">
        <v>801</v>
      </c>
      <c r="I12" s="162"/>
      <c r="J12" s="162">
        <v>250000</v>
      </c>
      <c r="K12" s="162">
        <f>J12</f>
        <v>250000</v>
      </c>
      <c r="L12" s="49">
        <f t="shared" si="1"/>
        <v>1227815</v>
      </c>
      <c r="M12" s="164"/>
      <c r="N12" s="165"/>
      <c r="O12" s="165">
        <v>442200</v>
      </c>
      <c r="P12" s="165">
        <f t="shared" si="0"/>
        <v>442200</v>
      </c>
      <c r="Q12" s="378" t="s">
        <v>802</v>
      </c>
      <c r="R12" s="165">
        <f t="shared" si="2"/>
        <v>442200</v>
      </c>
      <c r="S12" s="164"/>
      <c r="T12" s="379">
        <v>801200</v>
      </c>
      <c r="U12" s="379"/>
      <c r="V12" s="379">
        <v>239600</v>
      </c>
      <c r="W12" s="53">
        <f t="shared" si="4"/>
        <v>239600</v>
      </c>
      <c r="X12" s="53">
        <f t="shared" si="3"/>
        <v>1040800</v>
      </c>
      <c r="Y12" s="380" t="s">
        <v>803</v>
      </c>
    </row>
    <row r="13" spans="1:26">
      <c r="A13" s="561" t="s">
        <v>804</v>
      </c>
      <c r="B13" s="424" t="s">
        <v>153</v>
      </c>
      <c r="C13" s="162"/>
      <c r="D13" s="162"/>
      <c r="I13" s="162"/>
      <c r="J13" s="162"/>
      <c r="K13" s="162"/>
      <c r="L13" s="49">
        <f t="shared" si="1"/>
        <v>0</v>
      </c>
      <c r="M13" s="164"/>
      <c r="N13" s="165"/>
      <c r="O13" s="165"/>
      <c r="P13" s="165">
        <f t="shared" si="0"/>
        <v>0</v>
      </c>
      <c r="Q13" s="562"/>
      <c r="R13" s="165">
        <f t="shared" si="2"/>
        <v>0</v>
      </c>
      <c r="S13" s="164"/>
      <c r="T13" s="379"/>
      <c r="U13" s="379"/>
      <c r="V13" s="379"/>
      <c r="W13" s="53">
        <f t="shared" si="4"/>
        <v>0</v>
      </c>
      <c r="X13" s="53">
        <f t="shared" si="3"/>
        <v>0</v>
      </c>
      <c r="Y13" s="379"/>
    </row>
    <row r="14" spans="1:26">
      <c r="A14" s="423" t="s">
        <v>804</v>
      </c>
      <c r="B14" s="162" t="s">
        <v>153</v>
      </c>
      <c r="C14" s="162">
        <v>0</v>
      </c>
      <c r="D14" s="162">
        <v>0</v>
      </c>
      <c r="I14" s="162"/>
      <c r="J14" s="162"/>
      <c r="K14" s="162"/>
      <c r="L14" s="162"/>
      <c r="M14" s="164"/>
      <c r="N14" s="165"/>
      <c r="O14" s="165"/>
      <c r="P14" s="165">
        <f t="shared" si="0"/>
        <v>0</v>
      </c>
      <c r="Q14" s="562"/>
      <c r="R14" s="165">
        <f t="shared" si="2"/>
        <v>0</v>
      </c>
      <c r="S14" s="164"/>
      <c r="T14" s="379"/>
      <c r="U14" s="379"/>
      <c r="V14" s="379"/>
      <c r="W14" s="53">
        <f t="shared" si="4"/>
        <v>0</v>
      </c>
      <c r="X14" s="53">
        <f t="shared" si="3"/>
        <v>0</v>
      </c>
      <c r="Y14" s="379"/>
    </row>
    <row r="15" spans="1:26" ht="42" customHeight="1">
      <c r="A15" s="423">
        <v>522</v>
      </c>
      <c r="B15" s="558" t="s">
        <v>805</v>
      </c>
      <c r="C15" s="162"/>
      <c r="D15" s="162">
        <v>250000</v>
      </c>
      <c r="E15" s="69">
        <v>22950</v>
      </c>
      <c r="F15" s="69">
        <v>115000</v>
      </c>
      <c r="G15" s="69">
        <v>115000</v>
      </c>
      <c r="H15" s="211" t="s">
        <v>806</v>
      </c>
      <c r="I15" s="162"/>
      <c r="J15" s="162">
        <v>90000</v>
      </c>
      <c r="K15" s="162">
        <f>J15</f>
        <v>90000</v>
      </c>
      <c r="L15" s="49">
        <f t="shared" ref="L15:L16" si="5">E15+G15+K15</f>
        <v>227950</v>
      </c>
      <c r="M15" s="164"/>
      <c r="N15" s="165"/>
      <c r="O15" s="165"/>
      <c r="P15" s="165">
        <f t="shared" si="0"/>
        <v>0</v>
      </c>
      <c r="Q15" s="562"/>
      <c r="R15" s="165">
        <f t="shared" si="2"/>
        <v>0</v>
      </c>
      <c r="S15" s="164"/>
      <c r="T15" s="379"/>
      <c r="U15" s="379"/>
      <c r="V15" s="379"/>
      <c r="W15" s="53">
        <f t="shared" si="4"/>
        <v>0</v>
      </c>
      <c r="X15" s="53">
        <f t="shared" si="3"/>
        <v>0</v>
      </c>
      <c r="Y15" s="379"/>
    </row>
    <row r="16" spans="1:26" ht="31.5">
      <c r="A16" s="423">
        <v>523</v>
      </c>
      <c r="B16" s="558" t="s">
        <v>807</v>
      </c>
      <c r="C16" s="162"/>
      <c r="D16" s="162">
        <v>90000</v>
      </c>
      <c r="E16" s="69">
        <v>30000</v>
      </c>
      <c r="F16" s="69">
        <v>30000</v>
      </c>
      <c r="G16" s="69">
        <v>30000</v>
      </c>
      <c r="I16" s="162"/>
      <c r="J16" s="162">
        <v>30000</v>
      </c>
      <c r="K16" s="162">
        <f>J16</f>
        <v>30000</v>
      </c>
      <c r="L16" s="49">
        <f t="shared" si="5"/>
        <v>90000</v>
      </c>
      <c r="M16" s="164"/>
      <c r="N16" s="165"/>
      <c r="O16" s="165">
        <v>30000</v>
      </c>
      <c r="P16" s="165">
        <f t="shared" si="0"/>
        <v>30000</v>
      </c>
      <c r="Q16" s="562"/>
      <c r="R16" s="165">
        <f t="shared" si="2"/>
        <v>30000</v>
      </c>
      <c r="S16" s="164"/>
      <c r="T16" s="379">
        <v>40000</v>
      </c>
      <c r="U16" s="379"/>
      <c r="V16" s="379">
        <v>40000</v>
      </c>
      <c r="W16" s="53">
        <f t="shared" si="4"/>
        <v>40000</v>
      </c>
      <c r="X16" s="53">
        <f t="shared" si="3"/>
        <v>80000</v>
      </c>
      <c r="Y16" s="379" t="s">
        <v>808</v>
      </c>
    </row>
    <row r="17" spans="1:25" ht="19.5" customHeight="1">
      <c r="A17" s="563" t="s">
        <v>809</v>
      </c>
      <c r="B17" s="424" t="s">
        <v>153</v>
      </c>
      <c r="C17" s="162"/>
      <c r="D17" s="162">
        <v>0</v>
      </c>
      <c r="I17" s="162"/>
      <c r="J17" s="162"/>
      <c r="K17" s="162"/>
      <c r="L17" s="162"/>
      <c r="M17" s="164"/>
      <c r="N17" s="165"/>
      <c r="O17" s="165"/>
      <c r="P17" s="165">
        <f t="shared" si="0"/>
        <v>0</v>
      </c>
      <c r="Q17" s="564"/>
      <c r="R17" s="165">
        <f t="shared" si="2"/>
        <v>0</v>
      </c>
      <c r="S17" s="164"/>
      <c r="T17" s="379"/>
      <c r="U17" s="379"/>
      <c r="V17" s="379"/>
      <c r="W17" s="53">
        <f t="shared" si="4"/>
        <v>0</v>
      </c>
      <c r="X17" s="53">
        <f t="shared" si="3"/>
        <v>0</v>
      </c>
      <c r="Y17" s="379"/>
    </row>
    <row r="18" spans="1:25">
      <c r="A18" s="423" t="s">
        <v>810</v>
      </c>
      <c r="B18" s="424" t="s">
        <v>811</v>
      </c>
      <c r="C18" s="162"/>
      <c r="D18" s="162">
        <v>0</v>
      </c>
      <c r="I18" s="162"/>
      <c r="J18" s="162"/>
      <c r="K18" s="162"/>
      <c r="L18" s="162"/>
      <c r="M18" s="164"/>
      <c r="N18" s="165"/>
      <c r="O18" s="165"/>
      <c r="P18" s="165">
        <f t="shared" si="0"/>
        <v>0</v>
      </c>
      <c r="Q18" s="378"/>
      <c r="R18" s="165">
        <f t="shared" si="2"/>
        <v>0</v>
      </c>
      <c r="S18" s="164"/>
      <c r="T18" s="379"/>
      <c r="U18" s="379"/>
      <c r="V18" s="379"/>
      <c r="W18" s="53">
        <f t="shared" si="4"/>
        <v>0</v>
      </c>
      <c r="X18" s="53">
        <f t="shared" si="3"/>
        <v>0</v>
      </c>
      <c r="Y18" s="379"/>
    </row>
    <row r="19" spans="1:25" ht="29.85" customHeight="1">
      <c r="A19" s="423" t="s">
        <v>812</v>
      </c>
      <c r="B19" s="424" t="s">
        <v>813</v>
      </c>
      <c r="C19" s="162"/>
      <c r="D19" s="162">
        <v>201000</v>
      </c>
      <c r="E19" s="69">
        <v>25542</v>
      </c>
      <c r="F19" s="69">
        <v>110000</v>
      </c>
      <c r="G19" s="69">
        <v>110000</v>
      </c>
      <c r="H19" s="211" t="s">
        <v>814</v>
      </c>
      <c r="I19" s="162"/>
      <c r="J19" s="162">
        <v>56000</v>
      </c>
      <c r="K19" s="162">
        <f t="shared" ref="K19:K21" si="6">J19</f>
        <v>56000</v>
      </c>
      <c r="L19" s="49">
        <f t="shared" ref="L19:L25" si="7">E19+G19+K19</f>
        <v>191542</v>
      </c>
      <c r="M19" s="164"/>
      <c r="N19" s="165"/>
      <c r="O19" s="165"/>
      <c r="P19" s="565">
        <v>50000</v>
      </c>
      <c r="Q19" s="378" t="s">
        <v>815</v>
      </c>
      <c r="R19" s="165">
        <f t="shared" si="2"/>
        <v>50000</v>
      </c>
      <c r="S19" s="164"/>
      <c r="T19" s="379"/>
      <c r="U19" s="379"/>
      <c r="V19" s="379"/>
      <c r="W19" s="53">
        <f t="shared" si="4"/>
        <v>0</v>
      </c>
      <c r="X19" s="53">
        <f t="shared" si="3"/>
        <v>0</v>
      </c>
      <c r="Y19" s="379"/>
    </row>
    <row r="20" spans="1:25" ht="36.4" customHeight="1">
      <c r="A20" s="423">
        <v>532</v>
      </c>
      <c r="B20" s="424" t="s">
        <v>816</v>
      </c>
      <c r="C20" s="162">
        <v>75000</v>
      </c>
      <c r="D20" s="162">
        <v>110000</v>
      </c>
      <c r="E20" s="387">
        <v>-1990</v>
      </c>
      <c r="F20" s="387">
        <v>70000</v>
      </c>
      <c r="G20" s="387">
        <v>20000</v>
      </c>
      <c r="H20" s="566" t="s">
        <v>817</v>
      </c>
      <c r="I20" s="162"/>
      <c r="J20" s="162">
        <v>37000</v>
      </c>
      <c r="K20" s="162">
        <f t="shared" si="6"/>
        <v>37000</v>
      </c>
      <c r="L20" s="49">
        <f t="shared" si="7"/>
        <v>55010</v>
      </c>
      <c r="M20" s="164"/>
      <c r="N20" s="165"/>
      <c r="O20" s="165">
        <v>10000</v>
      </c>
      <c r="P20" s="165">
        <f t="shared" si="0"/>
        <v>10000</v>
      </c>
      <c r="Q20" s="378" t="s">
        <v>818</v>
      </c>
      <c r="R20" s="165">
        <f t="shared" si="2"/>
        <v>10000</v>
      </c>
      <c r="S20" s="164"/>
      <c r="T20" s="379">
        <v>10000</v>
      </c>
      <c r="U20" s="379"/>
      <c r="V20" s="379">
        <v>15000</v>
      </c>
      <c r="W20" s="53">
        <f t="shared" si="4"/>
        <v>15000</v>
      </c>
      <c r="X20" s="53">
        <f t="shared" si="3"/>
        <v>25000</v>
      </c>
      <c r="Y20" s="379" t="s">
        <v>819</v>
      </c>
    </row>
    <row r="21" spans="1:25" ht="31.5">
      <c r="A21" s="423">
        <f t="shared" ref="A21:A62" si="8">A20+1</f>
        <v>533</v>
      </c>
      <c r="B21" s="424" t="s">
        <v>820</v>
      </c>
      <c r="C21" s="162">
        <v>0</v>
      </c>
      <c r="D21" s="162">
        <v>1740000</v>
      </c>
      <c r="E21" s="387">
        <v>457281</v>
      </c>
      <c r="F21" s="387">
        <v>734000</v>
      </c>
      <c r="G21" s="567">
        <v>734000</v>
      </c>
      <c r="H21" s="566"/>
      <c r="I21" s="162">
        <v>700000</v>
      </c>
      <c r="J21" s="162">
        <v>297800</v>
      </c>
      <c r="K21" s="162">
        <f t="shared" si="6"/>
        <v>297800</v>
      </c>
      <c r="L21" s="49">
        <f t="shared" si="7"/>
        <v>1489081</v>
      </c>
      <c r="M21" s="164"/>
      <c r="N21" s="165">
        <f>700000+263500</f>
        <v>963500</v>
      </c>
      <c r="O21" s="165">
        <v>550000</v>
      </c>
      <c r="P21" s="165">
        <f t="shared" si="0"/>
        <v>1513500</v>
      </c>
      <c r="Q21" s="378" t="s">
        <v>821</v>
      </c>
      <c r="R21" s="165">
        <f t="shared" si="2"/>
        <v>1513500</v>
      </c>
      <c r="S21" s="164"/>
      <c r="T21" s="379">
        <v>630000</v>
      </c>
      <c r="U21" s="379"/>
      <c r="V21" s="379">
        <v>1010000</v>
      </c>
      <c r="W21" s="53">
        <f t="shared" si="4"/>
        <v>1010000</v>
      </c>
      <c r="X21" s="53">
        <f t="shared" si="3"/>
        <v>1640000</v>
      </c>
      <c r="Y21" s="380" t="s">
        <v>822</v>
      </c>
    </row>
    <row r="22" spans="1:25" ht="46.5" customHeight="1">
      <c r="A22" s="423">
        <f t="shared" si="8"/>
        <v>534</v>
      </c>
      <c r="B22" s="424" t="s">
        <v>823</v>
      </c>
      <c r="C22" s="162">
        <v>0</v>
      </c>
      <c r="D22" s="162">
        <v>426500</v>
      </c>
      <c r="E22" s="69">
        <v>65255</v>
      </c>
      <c r="F22" s="69">
        <v>108500</v>
      </c>
      <c r="G22" s="69">
        <v>121500</v>
      </c>
      <c r="H22" s="211" t="s">
        <v>824</v>
      </c>
      <c r="I22" s="162">
        <v>130000</v>
      </c>
      <c r="J22" s="162">
        <v>125000</v>
      </c>
      <c r="K22" s="162">
        <f>J22</f>
        <v>125000</v>
      </c>
      <c r="L22" s="49">
        <f t="shared" si="7"/>
        <v>311755</v>
      </c>
      <c r="M22" s="164"/>
      <c r="N22" s="165">
        <f>130000+60000</f>
        <v>190000</v>
      </c>
      <c r="O22" s="165">
        <v>121600</v>
      </c>
      <c r="P22" s="165">
        <f t="shared" si="0"/>
        <v>311600</v>
      </c>
      <c r="Q22" s="378" t="s">
        <v>825</v>
      </c>
      <c r="R22" s="165">
        <f t="shared" si="2"/>
        <v>311600</v>
      </c>
      <c r="S22" s="164"/>
      <c r="T22" s="379">
        <v>161600</v>
      </c>
      <c r="U22" s="379"/>
      <c r="V22" s="379">
        <v>389900</v>
      </c>
      <c r="W22" s="53">
        <f t="shared" si="4"/>
        <v>389900</v>
      </c>
      <c r="X22" s="53">
        <f t="shared" si="3"/>
        <v>551500</v>
      </c>
      <c r="Y22" s="380" t="s">
        <v>826</v>
      </c>
    </row>
    <row r="23" spans="1:25" ht="36" customHeight="1">
      <c r="A23" s="423">
        <f t="shared" si="8"/>
        <v>535</v>
      </c>
      <c r="B23" s="424" t="s">
        <v>827</v>
      </c>
      <c r="C23" s="162">
        <v>137700</v>
      </c>
      <c r="D23" s="162">
        <v>141000</v>
      </c>
      <c r="F23" s="69">
        <v>25000</v>
      </c>
      <c r="G23" s="69">
        <v>10000</v>
      </c>
      <c r="I23" s="162"/>
      <c r="J23" s="162">
        <v>26000</v>
      </c>
      <c r="K23" s="162">
        <f t="shared" ref="K23:K25" si="9">J23</f>
        <v>26000</v>
      </c>
      <c r="L23" s="49">
        <f t="shared" si="7"/>
        <v>36000</v>
      </c>
      <c r="M23" s="164"/>
      <c r="N23" s="165"/>
      <c r="O23" s="165">
        <v>45000</v>
      </c>
      <c r="P23" s="165">
        <f t="shared" si="0"/>
        <v>45000</v>
      </c>
      <c r="Q23" s="378" t="s">
        <v>828</v>
      </c>
      <c r="R23" s="165">
        <f t="shared" si="2"/>
        <v>45000</v>
      </c>
      <c r="S23" s="164"/>
      <c r="T23" s="379">
        <v>50000</v>
      </c>
      <c r="U23" s="379"/>
      <c r="V23" s="379">
        <v>45000</v>
      </c>
      <c r="W23" s="53">
        <f t="shared" si="4"/>
        <v>45000</v>
      </c>
      <c r="X23" s="53">
        <f t="shared" si="3"/>
        <v>95000</v>
      </c>
      <c r="Y23" s="380" t="s">
        <v>829</v>
      </c>
    </row>
    <row r="24" spans="1:25" ht="46.5" customHeight="1">
      <c r="A24" s="423">
        <f t="shared" si="8"/>
        <v>536</v>
      </c>
      <c r="B24" s="424" t="s">
        <v>830</v>
      </c>
      <c r="C24" s="162">
        <v>1010700</v>
      </c>
      <c r="D24" s="162">
        <v>413500</v>
      </c>
      <c r="E24" s="69">
        <v>172523</v>
      </c>
      <c r="F24" s="69">
        <v>163500</v>
      </c>
      <c r="G24" s="69">
        <v>148500</v>
      </c>
      <c r="H24" s="211" t="s">
        <v>831</v>
      </c>
      <c r="I24" s="162"/>
      <c r="J24" s="162">
        <v>180000</v>
      </c>
      <c r="K24" s="162">
        <f t="shared" si="9"/>
        <v>180000</v>
      </c>
      <c r="L24" s="49">
        <f t="shared" si="7"/>
        <v>501023</v>
      </c>
      <c r="M24" s="164"/>
      <c r="N24" s="165"/>
      <c r="O24" s="165">
        <v>150000</v>
      </c>
      <c r="P24" s="165">
        <f t="shared" si="0"/>
        <v>150000</v>
      </c>
      <c r="Q24" s="378" t="s">
        <v>832</v>
      </c>
      <c r="R24" s="165">
        <f t="shared" si="2"/>
        <v>150000</v>
      </c>
      <c r="S24" s="164"/>
      <c r="T24" s="379">
        <v>135000</v>
      </c>
      <c r="U24" s="379"/>
      <c r="V24" s="379">
        <v>150000</v>
      </c>
      <c r="W24" s="53">
        <f t="shared" si="4"/>
        <v>150000</v>
      </c>
      <c r="X24" s="53">
        <f t="shared" si="3"/>
        <v>285000</v>
      </c>
      <c r="Y24" s="380" t="s">
        <v>832</v>
      </c>
    </row>
    <row r="25" spans="1:25">
      <c r="A25" s="423">
        <f t="shared" si="8"/>
        <v>537</v>
      </c>
      <c r="B25" s="362" t="s">
        <v>181</v>
      </c>
      <c r="C25" s="69">
        <f>'[4]Salary Summary GC Adopted'!Y23</f>
        <v>3253686.3596491003</v>
      </c>
      <c r="D25" s="162">
        <v>5093987.9355199318</v>
      </c>
      <c r="E25" s="69">
        <v>1409568</v>
      </c>
      <c r="F25" s="69">
        <f>'[3]Salary Summary 19 for 2019-2021'!L25</f>
        <v>1739602.9521984227</v>
      </c>
      <c r="G25" s="69">
        <v>1739602.9521984227</v>
      </c>
      <c r="J25" s="69">
        <f>'[3]Salary Summary 20 for 2019-2021'!P25</f>
        <v>1785691.975278591</v>
      </c>
      <c r="K25" s="162">
        <f t="shared" si="9"/>
        <v>1785691.975278591</v>
      </c>
      <c r="L25" s="49">
        <f t="shared" si="7"/>
        <v>4934862.9274770133</v>
      </c>
      <c r="M25" s="164"/>
      <c r="N25" s="377"/>
      <c r="O25" s="165">
        <f>'Salary Summary 21 for 2022-2024'!M26</f>
        <v>1814507.7470164283</v>
      </c>
      <c r="P25" s="165">
        <f t="shared" si="0"/>
        <v>1814507.7470164283</v>
      </c>
      <c r="Q25" s="378"/>
      <c r="R25" s="165">
        <f t="shared" si="2"/>
        <v>1814507.7470164283</v>
      </c>
      <c r="S25" s="164"/>
      <c r="T25" s="379">
        <f>'[8]Salary Summary 21 for 2022-2024'!P25</f>
        <v>1889426.9854218282</v>
      </c>
      <c r="U25" s="379"/>
      <c r="V25" s="379">
        <f>'[8]Salary Summary 21 for 2022-2024'!T25</f>
        <v>1948963.0669926079</v>
      </c>
      <c r="W25" s="53">
        <f t="shared" si="4"/>
        <v>1948963.0669926079</v>
      </c>
      <c r="X25" s="53">
        <f t="shared" si="3"/>
        <v>3838390.0524144359</v>
      </c>
      <c r="Y25" s="379"/>
    </row>
    <row r="26" spans="1:25">
      <c r="A26" s="423">
        <f>A25+1</f>
        <v>538</v>
      </c>
      <c r="B26" s="362" t="s">
        <v>833</v>
      </c>
      <c r="D26" s="162">
        <v>-400000</v>
      </c>
      <c r="F26" s="69">
        <v>0</v>
      </c>
      <c r="N26" s="377"/>
      <c r="O26" s="377"/>
      <c r="P26" s="377">
        <f t="shared" si="0"/>
        <v>0</v>
      </c>
      <c r="Q26" s="378"/>
      <c r="R26" s="377">
        <f t="shared" si="2"/>
        <v>0</v>
      </c>
      <c r="T26" s="379"/>
      <c r="U26" s="379"/>
      <c r="V26" s="379"/>
      <c r="W26" s="53">
        <f t="shared" si="4"/>
        <v>0</v>
      </c>
      <c r="X26" s="53">
        <f t="shared" si="3"/>
        <v>0</v>
      </c>
      <c r="Y26" s="379"/>
    </row>
    <row r="27" spans="1:25">
      <c r="A27" s="423" t="s">
        <v>834</v>
      </c>
      <c r="B27" s="362" t="s">
        <v>835</v>
      </c>
      <c r="D27" s="162"/>
      <c r="K27" s="69">
        <f>I28</f>
        <v>2563000</v>
      </c>
      <c r="L27" s="69">
        <f>E27+G27+K27</f>
        <v>2563000</v>
      </c>
      <c r="N27" s="377"/>
      <c r="O27" s="377"/>
      <c r="P27" s="377">
        <f t="shared" si="0"/>
        <v>0</v>
      </c>
      <c r="Q27" s="378"/>
      <c r="R27" s="377">
        <f t="shared" si="2"/>
        <v>0</v>
      </c>
      <c r="T27" s="379"/>
      <c r="U27" s="379"/>
      <c r="V27" s="379"/>
      <c r="W27" s="379"/>
      <c r="X27" s="379"/>
      <c r="Y27" s="379"/>
    </row>
    <row r="28" spans="1:25" s="369" customFormat="1">
      <c r="A28" s="568">
        <f>A26+1</f>
        <v>539</v>
      </c>
      <c r="B28" s="569" t="s">
        <v>836</v>
      </c>
      <c r="C28" s="174">
        <f>SUM(C8:C25)</f>
        <v>9510024.3596490994</v>
      </c>
      <c r="D28" s="174">
        <f>SUM(D8:D26)</f>
        <v>13131487.935519932</v>
      </c>
      <c r="E28" s="174">
        <f>SUM(E8:E26)</f>
        <v>3034276</v>
      </c>
      <c r="F28" s="174">
        <f>SUM(F8:F26)</f>
        <v>4876102.9521984225</v>
      </c>
      <c r="G28" s="174">
        <f>SUM(G8:G26)</f>
        <v>4381102.9521984225</v>
      </c>
      <c r="H28" s="200"/>
      <c r="I28" s="174">
        <f>SUM(I8:I27)</f>
        <v>2563000</v>
      </c>
      <c r="J28" s="174">
        <f>SUM(J8:J27)</f>
        <v>3354491.9752785908</v>
      </c>
      <c r="K28" s="174">
        <f>SUM(K8:K27)</f>
        <v>5917491.9752785908</v>
      </c>
      <c r="L28" s="174">
        <f>E28+G28+K28</f>
        <v>13332870.927477013</v>
      </c>
      <c r="M28" s="175"/>
      <c r="N28" s="176">
        <f>SUM(N8:N27)</f>
        <v>3111500</v>
      </c>
      <c r="O28" s="176">
        <f>SUM(O8:O27)</f>
        <v>3800932.747016428</v>
      </c>
      <c r="P28" s="176">
        <f>SUM(P8:P27)</f>
        <v>6962432.747016428</v>
      </c>
      <c r="Q28" s="570"/>
      <c r="R28" s="176">
        <f t="shared" si="2"/>
        <v>6962432.747016428</v>
      </c>
      <c r="S28" s="175"/>
      <c r="T28" s="178">
        <f t="shared" ref="T28:Y28" si="10">SUM(T8:T27)</f>
        <v>4631351.985421828</v>
      </c>
      <c r="U28" s="178">
        <f t="shared" si="10"/>
        <v>2148000</v>
      </c>
      <c r="V28" s="178">
        <f t="shared" si="10"/>
        <v>4368338.0669926079</v>
      </c>
      <c r="W28" s="178">
        <f t="shared" si="10"/>
        <v>6516338.0669926079</v>
      </c>
      <c r="X28" s="178">
        <f t="shared" si="10"/>
        <v>11147690.052414436</v>
      </c>
      <c r="Y28" s="178">
        <f t="shared" si="10"/>
        <v>0</v>
      </c>
    </row>
    <row r="29" spans="1:25">
      <c r="A29" s="423">
        <f t="shared" si="8"/>
        <v>540</v>
      </c>
      <c r="C29" s="162"/>
      <c r="D29" s="162"/>
      <c r="E29" s="162"/>
      <c r="F29" s="162"/>
      <c r="G29" s="162"/>
      <c r="H29" s="163"/>
      <c r="I29" s="162"/>
      <c r="J29" s="162"/>
      <c r="K29" s="162"/>
      <c r="L29" s="162">
        <f t="shared" ref="L29:L34" si="11">E29+G29+K29</f>
        <v>0</v>
      </c>
      <c r="M29" s="164"/>
      <c r="N29" s="165"/>
      <c r="O29" s="165"/>
      <c r="P29" s="165">
        <f t="shared" si="0"/>
        <v>0</v>
      </c>
      <c r="Q29" s="562"/>
      <c r="R29" s="165">
        <f t="shared" si="2"/>
        <v>0</v>
      </c>
      <c r="S29" s="164"/>
      <c r="T29" s="379"/>
      <c r="U29" s="379"/>
      <c r="V29" s="379"/>
      <c r="W29" s="379"/>
      <c r="X29" s="379"/>
      <c r="Y29" s="379"/>
    </row>
    <row r="30" spans="1:25">
      <c r="A30" s="423">
        <f t="shared" si="8"/>
        <v>541</v>
      </c>
      <c r="D30" s="69">
        <v>0</v>
      </c>
      <c r="F30" s="162"/>
      <c r="G30" s="162"/>
      <c r="H30" s="163"/>
      <c r="L30" s="69">
        <f t="shared" si="11"/>
        <v>0</v>
      </c>
      <c r="N30" s="377"/>
      <c r="O30" s="377"/>
      <c r="P30" s="377">
        <f t="shared" si="0"/>
        <v>0</v>
      </c>
      <c r="Q30" s="378"/>
      <c r="R30" s="377">
        <f t="shared" si="2"/>
        <v>0</v>
      </c>
      <c r="T30" s="379"/>
      <c r="U30" s="379"/>
      <c r="V30" s="379"/>
      <c r="W30" s="379"/>
      <c r="X30" s="379"/>
      <c r="Y30" s="379"/>
    </row>
    <row r="31" spans="1:25">
      <c r="F31" s="162"/>
      <c r="G31" s="162"/>
      <c r="H31" s="163"/>
      <c r="L31" s="69">
        <f t="shared" si="11"/>
        <v>0</v>
      </c>
      <c r="N31" s="377"/>
      <c r="O31" s="377"/>
      <c r="P31" s="377">
        <f t="shared" si="0"/>
        <v>0</v>
      </c>
      <c r="Q31" s="378"/>
      <c r="R31" s="377">
        <f t="shared" si="2"/>
        <v>0</v>
      </c>
      <c r="T31" s="379"/>
      <c r="U31" s="379"/>
      <c r="V31" s="379"/>
      <c r="W31" s="379"/>
      <c r="X31" s="379"/>
      <c r="Y31" s="379"/>
    </row>
    <row r="32" spans="1:25">
      <c r="A32" s="557">
        <f>A30+1</f>
        <v>542</v>
      </c>
      <c r="B32" s="369" t="s">
        <v>837</v>
      </c>
      <c r="D32" s="69">
        <v>0</v>
      </c>
      <c r="F32" s="162"/>
      <c r="G32" s="162"/>
      <c r="H32" s="163"/>
      <c r="L32" s="69">
        <f t="shared" si="11"/>
        <v>0</v>
      </c>
      <c r="N32" s="377"/>
      <c r="O32" s="377"/>
      <c r="P32" s="377">
        <f t="shared" si="0"/>
        <v>0</v>
      </c>
      <c r="Q32" s="378"/>
      <c r="R32" s="377">
        <f t="shared" si="2"/>
        <v>0</v>
      </c>
      <c r="T32" s="379"/>
      <c r="U32" s="379"/>
      <c r="V32" s="379"/>
      <c r="W32" s="379"/>
      <c r="X32" s="379"/>
      <c r="Y32" s="379"/>
    </row>
    <row r="33" spans="1:25" ht="47.25">
      <c r="A33" s="423">
        <f t="shared" si="8"/>
        <v>543</v>
      </c>
      <c r="B33" s="362" t="s">
        <v>838</v>
      </c>
      <c r="C33" s="69">
        <v>135000</v>
      </c>
      <c r="D33" s="162">
        <v>15000</v>
      </c>
      <c r="E33" s="162"/>
      <c r="F33" s="162">
        <v>5000</v>
      </c>
      <c r="G33" s="162">
        <v>5000</v>
      </c>
      <c r="H33" s="163"/>
      <c r="I33" s="162"/>
      <c r="J33" s="162">
        <v>5000</v>
      </c>
      <c r="K33" s="162">
        <f>J33</f>
        <v>5000</v>
      </c>
      <c r="L33" s="162">
        <f t="shared" si="11"/>
        <v>10000</v>
      </c>
      <c r="M33" s="164"/>
      <c r="N33" s="165"/>
      <c r="O33" s="165">
        <f>80000+5000</f>
        <v>85000</v>
      </c>
      <c r="P33" s="165">
        <f t="shared" si="0"/>
        <v>85000</v>
      </c>
      <c r="Q33" s="562" t="s">
        <v>839</v>
      </c>
      <c r="R33" s="165">
        <f t="shared" si="2"/>
        <v>85000</v>
      </c>
      <c r="S33" s="164"/>
      <c r="T33" s="379">
        <f>80000+5000</f>
        <v>85000</v>
      </c>
      <c r="U33" s="379"/>
      <c r="V33" s="379">
        <f>80000+5000</f>
        <v>85000</v>
      </c>
      <c r="W33" s="53">
        <f t="shared" ref="W33" si="12">U33+V33</f>
        <v>85000</v>
      </c>
      <c r="X33" s="53">
        <f t="shared" ref="X33:X34" si="13">T33+W33</f>
        <v>170000</v>
      </c>
      <c r="Y33" s="380" t="s">
        <v>840</v>
      </c>
    </row>
    <row r="34" spans="1:25">
      <c r="A34" s="423">
        <f t="shared" si="8"/>
        <v>544</v>
      </c>
      <c r="B34" s="362" t="s">
        <v>841</v>
      </c>
      <c r="C34" s="69">
        <f>30000+20000</f>
        <v>50000</v>
      </c>
      <c r="D34" s="162">
        <v>50000</v>
      </c>
      <c r="E34" s="162"/>
      <c r="F34" s="162">
        <v>16667</v>
      </c>
      <c r="G34" s="162">
        <v>16667</v>
      </c>
      <c r="H34" s="163"/>
      <c r="I34" s="162"/>
      <c r="J34" s="162">
        <v>16667</v>
      </c>
      <c r="K34" s="162">
        <f>J34</f>
        <v>16667</v>
      </c>
      <c r="L34" s="162">
        <f t="shared" si="11"/>
        <v>33334</v>
      </c>
      <c r="M34" s="164"/>
      <c r="N34" s="165"/>
      <c r="O34" s="165">
        <v>16666</v>
      </c>
      <c r="P34" s="165">
        <f t="shared" si="0"/>
        <v>16666</v>
      </c>
      <c r="Q34" s="562" t="s">
        <v>842</v>
      </c>
      <c r="R34" s="165">
        <f t="shared" si="2"/>
        <v>16666</v>
      </c>
      <c r="S34" s="164"/>
      <c r="T34" s="379">
        <v>16667</v>
      </c>
      <c r="U34" s="379"/>
      <c r="V34" s="379">
        <v>16667</v>
      </c>
      <c r="W34" s="53">
        <v>16667</v>
      </c>
      <c r="X34" s="53">
        <f t="shared" si="13"/>
        <v>33334</v>
      </c>
      <c r="Y34" s="379" t="s">
        <v>843</v>
      </c>
    </row>
    <row r="35" spans="1:25">
      <c r="A35" s="568">
        <f t="shared" si="8"/>
        <v>545</v>
      </c>
      <c r="B35" s="571" t="s">
        <v>844</v>
      </c>
      <c r="C35" s="174">
        <f>SUM(C33:C34)</f>
        <v>185000</v>
      </c>
      <c r="D35" s="174">
        <v>65000</v>
      </c>
      <c r="E35" s="174">
        <v>20085</v>
      </c>
      <c r="F35" s="174">
        <f t="shared" ref="F35:J35" si="14">SUM(F33:F34)</f>
        <v>21667</v>
      </c>
      <c r="G35" s="174">
        <f t="shared" si="14"/>
        <v>21667</v>
      </c>
      <c r="H35" s="200"/>
      <c r="I35" s="174">
        <f t="shared" si="14"/>
        <v>0</v>
      </c>
      <c r="J35" s="174">
        <f t="shared" si="14"/>
        <v>21667</v>
      </c>
      <c r="K35" s="174">
        <v>21667</v>
      </c>
      <c r="L35" s="174">
        <f>E35+G35+K35</f>
        <v>63419</v>
      </c>
      <c r="M35" s="175"/>
      <c r="N35" s="176">
        <f t="shared" ref="N35:P35" si="15">SUM(N33:N34)</f>
        <v>0</v>
      </c>
      <c r="O35" s="176">
        <f t="shared" si="15"/>
        <v>101666</v>
      </c>
      <c r="P35" s="176">
        <f t="shared" si="15"/>
        <v>101666</v>
      </c>
      <c r="Q35" s="570"/>
      <c r="R35" s="176">
        <f t="shared" si="2"/>
        <v>101666</v>
      </c>
      <c r="S35" s="175"/>
      <c r="T35" s="178">
        <f t="shared" ref="T35:Y35" si="16">SUM(T33:T34)</f>
        <v>101667</v>
      </c>
      <c r="U35" s="178">
        <f t="shared" si="16"/>
        <v>0</v>
      </c>
      <c r="V35" s="178">
        <f t="shared" si="16"/>
        <v>101667</v>
      </c>
      <c r="W35" s="178">
        <f t="shared" si="16"/>
        <v>101667</v>
      </c>
      <c r="X35" s="178">
        <f t="shared" si="16"/>
        <v>203334</v>
      </c>
      <c r="Y35" s="178">
        <f t="shared" si="16"/>
        <v>0</v>
      </c>
    </row>
    <row r="36" spans="1:25">
      <c r="A36" s="423">
        <f t="shared" si="8"/>
        <v>546</v>
      </c>
      <c r="D36" s="69">
        <v>0</v>
      </c>
      <c r="F36" s="162"/>
      <c r="G36" s="162"/>
      <c r="H36" s="163"/>
      <c r="N36" s="377"/>
      <c r="O36" s="377"/>
      <c r="P36" s="377">
        <f t="shared" si="0"/>
        <v>0</v>
      </c>
      <c r="Q36" s="378"/>
      <c r="R36" s="377">
        <f t="shared" si="2"/>
        <v>0</v>
      </c>
      <c r="T36" s="379"/>
      <c r="U36" s="379"/>
      <c r="V36" s="379"/>
      <c r="W36" s="379"/>
      <c r="X36" s="379"/>
      <c r="Y36" s="379"/>
    </row>
    <row r="37" spans="1:25">
      <c r="A37" s="557">
        <f t="shared" si="8"/>
        <v>547</v>
      </c>
      <c r="B37" s="369" t="s">
        <v>845</v>
      </c>
      <c r="D37" s="69">
        <v>0</v>
      </c>
      <c r="F37" s="162"/>
      <c r="G37" s="162"/>
      <c r="H37" s="163"/>
      <c r="N37" s="377"/>
      <c r="O37" s="377"/>
      <c r="P37" s="377">
        <f t="shared" si="0"/>
        <v>0</v>
      </c>
      <c r="Q37" s="378"/>
      <c r="R37" s="377">
        <f t="shared" si="2"/>
        <v>0</v>
      </c>
      <c r="T37" s="379"/>
      <c r="U37" s="379"/>
      <c r="V37" s="379"/>
      <c r="W37" s="379"/>
      <c r="X37" s="379"/>
      <c r="Y37" s="379"/>
    </row>
    <row r="38" spans="1:25" ht="31.5">
      <c r="A38" s="423">
        <f t="shared" si="8"/>
        <v>548</v>
      </c>
      <c r="B38" s="362" t="s">
        <v>846</v>
      </c>
      <c r="C38" s="69">
        <v>93600</v>
      </c>
      <c r="D38" s="162">
        <v>96000</v>
      </c>
      <c r="E38" s="162">
        <v>23809</v>
      </c>
      <c r="F38" s="162">
        <v>32000</v>
      </c>
      <c r="G38" s="162">
        <v>0</v>
      </c>
      <c r="H38" s="163" t="s">
        <v>847</v>
      </c>
      <c r="I38" s="162"/>
      <c r="J38" s="162">
        <v>32000</v>
      </c>
      <c r="K38" s="162">
        <f>J38</f>
        <v>32000</v>
      </c>
      <c r="L38" s="162">
        <f t="shared" ref="L38:L51" si="17">E38+G38+K38</f>
        <v>55809</v>
      </c>
      <c r="M38" s="164"/>
      <c r="N38" s="165"/>
      <c r="O38" s="165">
        <v>50000</v>
      </c>
      <c r="P38" s="165">
        <f t="shared" si="0"/>
        <v>50000</v>
      </c>
      <c r="Q38" s="562" t="s">
        <v>848</v>
      </c>
      <c r="R38" s="165">
        <f t="shared" si="2"/>
        <v>50000</v>
      </c>
      <c r="S38" s="164"/>
      <c r="T38" s="379">
        <v>34000</v>
      </c>
      <c r="U38" s="379"/>
      <c r="V38" s="379">
        <v>34000</v>
      </c>
      <c r="W38" s="53">
        <f t="shared" ref="W38:W51" si="18">U38+V38</f>
        <v>34000</v>
      </c>
      <c r="X38" s="53">
        <f t="shared" ref="X38:X51" si="19">T38+W38</f>
        <v>68000</v>
      </c>
      <c r="Y38" s="379" t="s">
        <v>849</v>
      </c>
    </row>
    <row r="39" spans="1:25">
      <c r="A39" s="423">
        <f t="shared" si="8"/>
        <v>549</v>
      </c>
      <c r="B39" s="362" t="s">
        <v>850</v>
      </c>
      <c r="C39" s="69">
        <v>3300</v>
      </c>
      <c r="D39" s="162">
        <v>6000</v>
      </c>
      <c r="E39" s="162">
        <v>316</v>
      </c>
      <c r="F39" s="162">
        <v>2000</v>
      </c>
      <c r="G39" s="162">
        <v>2000</v>
      </c>
      <c r="H39" s="163"/>
      <c r="I39" s="162"/>
      <c r="J39" s="162">
        <v>2000</v>
      </c>
      <c r="K39" s="162">
        <f t="shared" ref="K39:K48" si="20">J39</f>
        <v>2000</v>
      </c>
      <c r="L39" s="162">
        <f t="shared" si="17"/>
        <v>4316</v>
      </c>
      <c r="M39" s="164"/>
      <c r="N39" s="165"/>
      <c r="O39" s="165">
        <v>2000</v>
      </c>
      <c r="P39" s="165">
        <f t="shared" si="0"/>
        <v>2000</v>
      </c>
      <c r="Q39" s="562"/>
      <c r="R39" s="165">
        <f t="shared" si="2"/>
        <v>2000</v>
      </c>
      <c r="S39" s="164"/>
      <c r="T39" s="379">
        <v>2000</v>
      </c>
      <c r="U39" s="379"/>
      <c r="V39" s="379">
        <v>2000</v>
      </c>
      <c r="W39" s="53">
        <f t="shared" si="18"/>
        <v>2000</v>
      </c>
      <c r="X39" s="53">
        <f t="shared" si="19"/>
        <v>4000</v>
      </c>
      <c r="Y39" s="379"/>
    </row>
    <row r="40" spans="1:25">
      <c r="A40" s="423" t="s">
        <v>851</v>
      </c>
      <c r="B40" s="362" t="s">
        <v>852</v>
      </c>
      <c r="D40" s="162">
        <v>268500</v>
      </c>
      <c r="E40" s="162">
        <f>D40/3</f>
        <v>89500</v>
      </c>
      <c r="F40" s="162">
        <v>89500</v>
      </c>
      <c r="G40" s="162">
        <f>89500+29500</f>
        <v>119000</v>
      </c>
      <c r="H40" s="163"/>
      <c r="I40" s="162"/>
      <c r="J40" s="162">
        <v>86500</v>
      </c>
      <c r="K40" s="162">
        <f t="shared" si="20"/>
        <v>86500</v>
      </c>
      <c r="L40" s="162">
        <f t="shared" si="17"/>
        <v>295000</v>
      </c>
      <c r="M40" s="164"/>
      <c r="N40" s="165"/>
      <c r="O40" s="165">
        <v>100000</v>
      </c>
      <c r="P40" s="165">
        <f t="shared" si="0"/>
        <v>100000</v>
      </c>
      <c r="Q40" s="562" t="s">
        <v>853</v>
      </c>
      <c r="R40" s="165">
        <f t="shared" si="2"/>
        <v>100000</v>
      </c>
      <c r="S40" s="164"/>
      <c r="T40" s="379">
        <f>P40*1.03</f>
        <v>103000</v>
      </c>
      <c r="U40" s="379"/>
      <c r="V40" s="379">
        <f>T40*1.03</f>
        <v>106090</v>
      </c>
      <c r="W40" s="53">
        <f t="shared" si="18"/>
        <v>106090</v>
      </c>
      <c r="X40" s="53">
        <f t="shared" si="19"/>
        <v>209090</v>
      </c>
      <c r="Y40" s="379"/>
    </row>
    <row r="41" spans="1:25" ht="31.5">
      <c r="A41" s="423" t="s">
        <v>854</v>
      </c>
      <c r="B41" s="362" t="s">
        <v>855</v>
      </c>
      <c r="D41" s="162"/>
      <c r="E41" s="162"/>
      <c r="F41" s="162"/>
      <c r="G41" s="162"/>
      <c r="H41" s="163"/>
      <c r="I41" s="162"/>
      <c r="J41" s="162">
        <v>3000</v>
      </c>
      <c r="K41" s="162">
        <f t="shared" si="20"/>
        <v>3000</v>
      </c>
      <c r="L41" s="162">
        <f t="shared" si="17"/>
        <v>3000</v>
      </c>
      <c r="M41" s="164"/>
      <c r="N41" s="165"/>
      <c r="O41" s="165">
        <v>5500</v>
      </c>
      <c r="P41" s="165">
        <f t="shared" si="0"/>
        <v>5500</v>
      </c>
      <c r="Q41" s="562" t="s">
        <v>856</v>
      </c>
      <c r="R41" s="165">
        <f t="shared" si="2"/>
        <v>5500</v>
      </c>
      <c r="S41" s="164"/>
      <c r="T41" s="379">
        <v>5500</v>
      </c>
      <c r="U41" s="379"/>
      <c r="V41" s="379">
        <v>5500</v>
      </c>
      <c r="W41" s="53">
        <f t="shared" si="18"/>
        <v>5500</v>
      </c>
      <c r="X41" s="53">
        <f t="shared" si="19"/>
        <v>11000</v>
      </c>
      <c r="Y41" s="380" t="s">
        <v>857</v>
      </c>
    </row>
    <row r="42" spans="1:25" ht="41.25" customHeight="1">
      <c r="A42" s="423">
        <v>551</v>
      </c>
      <c r="B42" s="362" t="s">
        <v>858</v>
      </c>
      <c r="C42" s="69">
        <v>250000</v>
      </c>
      <c r="D42" s="162">
        <v>171000</v>
      </c>
      <c r="E42" s="162">
        <f>D42/3</f>
        <v>57000</v>
      </c>
      <c r="F42" s="162">
        <v>41097</v>
      </c>
      <c r="G42" s="162">
        <v>93247</v>
      </c>
      <c r="H42" s="163" t="s">
        <v>859</v>
      </c>
      <c r="I42" s="162">
        <v>833</v>
      </c>
      <c r="J42" s="162">
        <v>97909</v>
      </c>
      <c r="K42" s="162">
        <f t="shared" si="20"/>
        <v>97909</v>
      </c>
      <c r="L42" s="162">
        <f t="shared" si="17"/>
        <v>248156</v>
      </c>
      <c r="M42" s="164"/>
      <c r="N42" s="165">
        <v>833</v>
      </c>
      <c r="O42" s="165">
        <f>(97909+108000)*1.03*8/12</f>
        <v>141390.84666666668</v>
      </c>
      <c r="P42" s="165">
        <f t="shared" si="0"/>
        <v>142223.84666666668</v>
      </c>
      <c r="Q42" s="562" t="s">
        <v>860</v>
      </c>
      <c r="R42" s="165">
        <f t="shared" si="2"/>
        <v>142223.84666666668</v>
      </c>
      <c r="S42" s="164"/>
      <c r="T42" s="379"/>
      <c r="U42" s="379"/>
      <c r="V42" s="379"/>
      <c r="W42" s="53">
        <f t="shared" si="18"/>
        <v>0</v>
      </c>
      <c r="X42" s="53">
        <f t="shared" si="19"/>
        <v>0</v>
      </c>
      <c r="Y42" s="379"/>
    </row>
    <row r="43" spans="1:25" ht="41.65" customHeight="1">
      <c r="A43" s="423">
        <f t="shared" si="8"/>
        <v>552</v>
      </c>
      <c r="B43" s="362" t="s">
        <v>428</v>
      </c>
      <c r="D43" s="162">
        <v>185000</v>
      </c>
      <c r="E43" s="154">
        <f>D43/3</f>
        <v>61666.666666666664</v>
      </c>
      <c r="F43" s="154">
        <v>60000</v>
      </c>
      <c r="G43" s="154">
        <v>24000</v>
      </c>
      <c r="H43" s="150" t="s">
        <v>861</v>
      </c>
      <c r="I43" s="154">
        <v>5000</v>
      </c>
      <c r="J43" s="154">
        <v>60000</v>
      </c>
      <c r="K43" s="162">
        <f t="shared" si="20"/>
        <v>60000</v>
      </c>
      <c r="L43" s="162">
        <f t="shared" si="17"/>
        <v>145666.66666666666</v>
      </c>
      <c r="M43" s="217"/>
      <c r="N43" s="572">
        <v>5000</v>
      </c>
      <c r="O43" s="165"/>
      <c r="P43" s="572">
        <f t="shared" si="0"/>
        <v>5000</v>
      </c>
      <c r="Q43" s="562" t="s">
        <v>862</v>
      </c>
      <c r="R43" s="572">
        <f t="shared" si="2"/>
        <v>5000</v>
      </c>
      <c r="S43" s="217"/>
      <c r="T43" s="379">
        <v>70000</v>
      </c>
      <c r="U43" s="379"/>
      <c r="V43" s="379">
        <v>70000</v>
      </c>
      <c r="W43" s="53">
        <f t="shared" si="18"/>
        <v>70000</v>
      </c>
      <c r="X43" s="53">
        <f t="shared" si="19"/>
        <v>140000</v>
      </c>
      <c r="Y43" s="379" t="s">
        <v>863</v>
      </c>
    </row>
    <row r="44" spans="1:25">
      <c r="A44" s="423">
        <f t="shared" si="8"/>
        <v>553</v>
      </c>
      <c r="B44" s="362" t="s">
        <v>864</v>
      </c>
      <c r="D44" s="162">
        <v>45000</v>
      </c>
      <c r="E44" s="154"/>
      <c r="F44" s="154">
        <v>0</v>
      </c>
      <c r="G44" s="154">
        <v>0</v>
      </c>
      <c r="H44" s="150"/>
      <c r="I44" s="154">
        <v>45000</v>
      </c>
      <c r="J44" s="154">
        <v>0</v>
      </c>
      <c r="K44" s="162">
        <f t="shared" si="20"/>
        <v>0</v>
      </c>
      <c r="L44" s="162">
        <f t="shared" si="17"/>
        <v>0</v>
      </c>
      <c r="M44" s="217"/>
      <c r="N44" s="572">
        <v>45000</v>
      </c>
      <c r="O44" s="572"/>
      <c r="P44" s="572">
        <f t="shared" si="0"/>
        <v>45000</v>
      </c>
      <c r="Q44" s="562"/>
      <c r="R44" s="572">
        <f t="shared" si="2"/>
        <v>45000</v>
      </c>
      <c r="S44" s="217"/>
      <c r="T44" s="379"/>
      <c r="U44" s="379">
        <v>54000</v>
      </c>
      <c r="V44" s="379"/>
      <c r="W44" s="53">
        <f t="shared" si="18"/>
        <v>54000</v>
      </c>
      <c r="X44" s="53">
        <f t="shared" si="19"/>
        <v>54000</v>
      </c>
      <c r="Y44" s="379"/>
    </row>
    <row r="45" spans="1:25">
      <c r="A45" s="423" t="s">
        <v>865</v>
      </c>
      <c r="B45" s="362" t="s">
        <v>866</v>
      </c>
      <c r="D45" s="162">
        <v>21000</v>
      </c>
      <c r="E45" s="154">
        <v>7000</v>
      </c>
      <c r="F45" s="154">
        <v>6500</v>
      </c>
      <c r="G45" s="154">
        <v>6500</v>
      </c>
      <c r="H45" s="150"/>
      <c r="I45" s="154">
        <v>1500</v>
      </c>
      <c r="J45" s="154">
        <v>6000</v>
      </c>
      <c r="K45" s="162">
        <f t="shared" si="20"/>
        <v>6000</v>
      </c>
      <c r="L45" s="162">
        <f t="shared" si="17"/>
        <v>19500</v>
      </c>
      <c r="M45" s="217"/>
      <c r="N45" s="572">
        <v>1500</v>
      </c>
      <c r="O45" s="572">
        <v>7000</v>
      </c>
      <c r="P45" s="572">
        <f t="shared" si="0"/>
        <v>8500</v>
      </c>
      <c r="Q45" s="562" t="s">
        <v>867</v>
      </c>
      <c r="R45" s="572">
        <f t="shared" si="2"/>
        <v>8500</v>
      </c>
      <c r="S45" s="217"/>
      <c r="T45" s="379">
        <v>7000</v>
      </c>
      <c r="U45" s="379"/>
      <c r="V45" s="379">
        <v>7000</v>
      </c>
      <c r="W45" s="53">
        <f t="shared" si="18"/>
        <v>7000</v>
      </c>
      <c r="X45" s="53">
        <f t="shared" si="19"/>
        <v>14000</v>
      </c>
      <c r="Y45" s="379" t="s">
        <v>868</v>
      </c>
    </row>
    <row r="46" spans="1:25">
      <c r="A46" s="423" t="s">
        <v>869</v>
      </c>
      <c r="B46" s="362" t="s">
        <v>870</v>
      </c>
      <c r="D46" s="162"/>
      <c r="E46" s="154"/>
      <c r="F46" s="154"/>
      <c r="G46" s="154"/>
      <c r="H46" s="150"/>
      <c r="I46" s="154"/>
      <c r="J46" s="154"/>
      <c r="K46" s="162"/>
      <c r="L46" s="162">
        <f t="shared" si="17"/>
        <v>0</v>
      </c>
      <c r="M46" s="217"/>
      <c r="N46" s="572"/>
      <c r="O46" s="572"/>
      <c r="P46" s="572">
        <f t="shared" si="0"/>
        <v>0</v>
      </c>
      <c r="Q46" s="562"/>
      <c r="R46" s="572">
        <f t="shared" si="2"/>
        <v>0</v>
      </c>
      <c r="S46" s="217"/>
      <c r="T46" s="379"/>
      <c r="U46" s="379"/>
      <c r="V46" s="379"/>
      <c r="W46" s="53">
        <f t="shared" si="18"/>
        <v>0</v>
      </c>
      <c r="X46" s="53">
        <f t="shared" si="19"/>
        <v>0</v>
      </c>
      <c r="Y46" s="379"/>
    </row>
    <row r="47" spans="1:25" ht="33.4" customHeight="1">
      <c r="A47" s="423">
        <v>555</v>
      </c>
      <c r="B47" s="362" t="s">
        <v>871</v>
      </c>
      <c r="D47" s="162">
        <v>6600</v>
      </c>
      <c r="E47" s="154">
        <v>2200</v>
      </c>
      <c r="F47" s="154">
        <v>4600</v>
      </c>
      <c r="G47" s="154">
        <v>4600</v>
      </c>
      <c r="H47" s="150" t="s">
        <v>872</v>
      </c>
      <c r="I47" s="154">
        <v>3600</v>
      </c>
      <c r="J47" s="154">
        <v>1000</v>
      </c>
      <c r="K47" s="162">
        <f t="shared" si="20"/>
        <v>1000</v>
      </c>
      <c r="L47" s="162">
        <f t="shared" si="17"/>
        <v>7800</v>
      </c>
      <c r="M47" s="217"/>
      <c r="N47" s="572">
        <v>3600</v>
      </c>
      <c r="O47" s="572">
        <v>1000</v>
      </c>
      <c r="P47" s="572">
        <f t="shared" si="0"/>
        <v>4600</v>
      </c>
      <c r="Q47" s="562" t="s">
        <v>873</v>
      </c>
      <c r="R47" s="572">
        <f t="shared" si="2"/>
        <v>4600</v>
      </c>
      <c r="S47" s="217"/>
      <c r="T47" s="379">
        <v>5000</v>
      </c>
      <c r="U47" s="379"/>
      <c r="V47" s="379">
        <v>1000</v>
      </c>
      <c r="W47" s="53">
        <f t="shared" si="18"/>
        <v>1000</v>
      </c>
      <c r="X47" s="53">
        <f t="shared" si="19"/>
        <v>6000</v>
      </c>
      <c r="Y47" s="380" t="s">
        <v>873</v>
      </c>
    </row>
    <row r="48" spans="1:25">
      <c r="A48" s="423">
        <f t="shared" si="8"/>
        <v>556</v>
      </c>
      <c r="B48" s="362" t="s">
        <v>605</v>
      </c>
      <c r="C48" s="69">
        <v>270395</v>
      </c>
      <c r="D48" s="162">
        <v>15150</v>
      </c>
      <c r="E48" s="162">
        <f>449229-E40-E42-E43-E45-E47-210000</f>
        <v>21862.333333333343</v>
      </c>
      <c r="F48" s="162">
        <v>4550</v>
      </c>
      <c r="G48" s="162">
        <v>4550</v>
      </c>
      <c r="H48" s="163"/>
      <c r="I48" s="162"/>
      <c r="J48" s="162">
        <v>6050</v>
      </c>
      <c r="K48" s="162">
        <f t="shared" si="20"/>
        <v>6050</v>
      </c>
      <c r="L48" s="162">
        <f t="shared" si="17"/>
        <v>32462.333333333343</v>
      </c>
      <c r="M48" s="164"/>
      <c r="N48" s="165"/>
      <c r="O48" s="165">
        <v>5150</v>
      </c>
      <c r="P48" s="165">
        <f t="shared" si="0"/>
        <v>5150</v>
      </c>
      <c r="Q48" s="562" t="s">
        <v>874</v>
      </c>
      <c r="R48" s="165">
        <f t="shared" si="2"/>
        <v>5150</v>
      </c>
      <c r="S48" s="164"/>
      <c r="T48" s="379">
        <v>4000</v>
      </c>
      <c r="U48" s="379"/>
      <c r="V48" s="379">
        <v>4000</v>
      </c>
      <c r="W48" s="53">
        <f t="shared" si="18"/>
        <v>4000</v>
      </c>
      <c r="X48" s="53">
        <f t="shared" si="19"/>
        <v>8000</v>
      </c>
      <c r="Y48" s="379"/>
    </row>
    <row r="49" spans="1:158">
      <c r="A49" s="423" t="s">
        <v>875</v>
      </c>
      <c r="B49" s="362" t="s">
        <v>876</v>
      </c>
      <c r="D49" s="162"/>
      <c r="E49" s="162"/>
      <c r="F49" s="162"/>
      <c r="G49" s="162"/>
      <c r="H49" s="163"/>
      <c r="I49" s="162"/>
      <c r="J49" s="162"/>
      <c r="K49" s="162">
        <f>I52</f>
        <v>55933</v>
      </c>
      <c r="L49" s="162">
        <f t="shared" si="17"/>
        <v>55933</v>
      </c>
      <c r="M49" s="164"/>
      <c r="N49" s="165"/>
      <c r="O49" s="165"/>
      <c r="P49" s="165">
        <f t="shared" si="0"/>
        <v>0</v>
      </c>
      <c r="Q49" s="562"/>
      <c r="R49" s="165">
        <f t="shared" si="2"/>
        <v>0</v>
      </c>
      <c r="S49" s="164"/>
      <c r="T49" s="379"/>
      <c r="U49" s="379"/>
      <c r="V49" s="379"/>
      <c r="W49" s="53">
        <f t="shared" si="18"/>
        <v>0</v>
      </c>
      <c r="X49" s="53">
        <f t="shared" si="19"/>
        <v>0</v>
      </c>
      <c r="Y49" s="379"/>
    </row>
    <row r="50" spans="1:158">
      <c r="A50" s="423" t="s">
        <v>877</v>
      </c>
      <c r="B50" s="362" t="s">
        <v>878</v>
      </c>
      <c r="D50" s="162"/>
      <c r="E50" s="162"/>
      <c r="F50" s="162"/>
      <c r="G50" s="162"/>
      <c r="H50" s="163"/>
      <c r="I50" s="162"/>
      <c r="J50" s="162"/>
      <c r="K50" s="162"/>
      <c r="L50" s="162">
        <f t="shared" si="17"/>
        <v>0</v>
      </c>
      <c r="M50" s="164"/>
      <c r="N50" s="165"/>
      <c r="O50" s="165">
        <v>30000</v>
      </c>
      <c r="P50" s="165">
        <f t="shared" si="0"/>
        <v>30000</v>
      </c>
      <c r="Q50" s="562" t="s">
        <v>879</v>
      </c>
      <c r="R50" s="165">
        <f t="shared" si="2"/>
        <v>30000</v>
      </c>
      <c r="S50" s="164"/>
      <c r="T50" s="379"/>
      <c r="U50" s="379"/>
      <c r="V50" s="379"/>
      <c r="W50" s="53">
        <f t="shared" si="18"/>
        <v>0</v>
      </c>
      <c r="X50" s="53">
        <f t="shared" si="19"/>
        <v>0</v>
      </c>
      <c r="Y50" s="379"/>
    </row>
    <row r="51" spans="1:158" ht="49.15" customHeight="1">
      <c r="A51" s="423">
        <f>A48+1</f>
        <v>557</v>
      </c>
      <c r="B51" s="362" t="s">
        <v>880</v>
      </c>
      <c r="C51" s="69">
        <f>'[4]Salary Summary GC Adopted'!Y24</f>
        <v>303480.98336331022</v>
      </c>
      <c r="D51" s="162">
        <v>982565.44038724503</v>
      </c>
      <c r="E51" s="362">
        <f>114864+210000</f>
        <v>324864</v>
      </c>
      <c r="F51" s="362">
        <f>'[3]Salary Summary 19 for 2019-2021'!L26+216666</f>
        <v>336113.64387827</v>
      </c>
      <c r="G51" s="362">
        <v>336113.64387827</v>
      </c>
      <c r="H51" s="305"/>
      <c r="I51" s="362"/>
      <c r="J51" s="362">
        <f>'[3]Salary Summary 20 for 2019-2021'!P26</f>
        <v>339160.03291729913</v>
      </c>
      <c r="K51" s="362">
        <f>J51</f>
        <v>339160.03291729913</v>
      </c>
      <c r="L51" s="162">
        <f t="shared" si="17"/>
        <v>1000137.676795569</v>
      </c>
      <c r="M51" s="573"/>
      <c r="N51" s="574"/>
      <c r="O51" s="574">
        <f>'Salary Summary 21 for 2022-2024'!M27</f>
        <v>466988.60264513327</v>
      </c>
      <c r="P51" s="574">
        <f t="shared" si="0"/>
        <v>466988.60264513327</v>
      </c>
      <c r="Q51" s="562" t="s">
        <v>1122</v>
      </c>
      <c r="R51" s="574">
        <f t="shared" si="2"/>
        <v>466988.60264513327</v>
      </c>
      <c r="S51" s="573"/>
      <c r="T51" s="379">
        <f>'Salary Summary 21 for 2022-2024'!Q27</f>
        <v>650562.74517713999</v>
      </c>
      <c r="U51" s="379"/>
      <c r="V51" s="379">
        <f>'Salary Summary 21 for 2022-2024'!U27</f>
        <v>674449.09878797538</v>
      </c>
      <c r="W51" s="53">
        <f t="shared" si="18"/>
        <v>674449.09878797538</v>
      </c>
      <c r="X51" s="53">
        <f t="shared" si="19"/>
        <v>1325011.8439651155</v>
      </c>
      <c r="Y51" s="380" t="s">
        <v>1122</v>
      </c>
    </row>
    <row r="52" spans="1:158" s="571" customFormat="1">
      <c r="A52" s="568">
        <f t="shared" si="8"/>
        <v>558</v>
      </c>
      <c r="B52" s="571" t="s">
        <v>881</v>
      </c>
      <c r="C52" s="174">
        <f t="shared" ref="C52:F52" si="21">SUM(C38:C51)</f>
        <v>920775.98336331022</v>
      </c>
      <c r="D52" s="174">
        <f t="shared" si="21"/>
        <v>1796815.440387245</v>
      </c>
      <c r="E52" s="174">
        <f t="shared" si="21"/>
        <v>588218</v>
      </c>
      <c r="F52" s="174">
        <f t="shared" si="21"/>
        <v>576360.64387826994</v>
      </c>
      <c r="G52" s="174">
        <f>SUM(G38:G51)</f>
        <v>590010.64387826994</v>
      </c>
      <c r="H52" s="200"/>
      <c r="I52" s="174">
        <f>SUM(I38:I51)</f>
        <v>55933</v>
      </c>
      <c r="J52" s="174">
        <f t="shared" ref="J52:L52" si="22">SUM(J38:J51)</f>
        <v>633619.03291729908</v>
      </c>
      <c r="K52" s="174">
        <f t="shared" si="22"/>
        <v>689552.03291729908</v>
      </c>
      <c r="L52" s="174">
        <f t="shared" si="22"/>
        <v>1867780.676795569</v>
      </c>
      <c r="M52" s="175"/>
      <c r="N52" s="176">
        <f>SUM(N38:N51)</f>
        <v>55933</v>
      </c>
      <c r="O52" s="176">
        <f t="shared" ref="O52:P52" si="23">SUM(O38:O51)</f>
        <v>809029.44931179995</v>
      </c>
      <c r="P52" s="176">
        <f t="shared" si="23"/>
        <v>864962.44931179995</v>
      </c>
      <c r="Q52" s="570"/>
      <c r="R52" s="176">
        <f t="shared" si="2"/>
        <v>864962.44931179995</v>
      </c>
      <c r="S52" s="175"/>
      <c r="T52" s="178">
        <f t="shared" ref="T52:Y52" si="24">SUM(T38:T51)</f>
        <v>881062.74517713999</v>
      </c>
      <c r="U52" s="178">
        <f t="shared" si="24"/>
        <v>54000</v>
      </c>
      <c r="V52" s="178">
        <f t="shared" si="24"/>
        <v>904039.09878797538</v>
      </c>
      <c r="W52" s="178">
        <f t="shared" si="24"/>
        <v>958039.09878797538</v>
      </c>
      <c r="X52" s="178">
        <f t="shared" si="24"/>
        <v>1839101.8439651155</v>
      </c>
      <c r="Y52" s="178">
        <f t="shared" si="24"/>
        <v>0</v>
      </c>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c r="DJ52" s="369"/>
      <c r="DK52" s="369"/>
      <c r="DL52" s="369"/>
      <c r="DM52" s="369"/>
      <c r="DN52" s="369"/>
      <c r="DO52" s="369"/>
      <c r="DP52" s="369"/>
      <c r="DQ52" s="369"/>
      <c r="DR52" s="369"/>
      <c r="DS52" s="369"/>
      <c r="DT52" s="369"/>
      <c r="DU52" s="369"/>
      <c r="DV52" s="369"/>
      <c r="DW52" s="369"/>
      <c r="DX52" s="369"/>
      <c r="DY52" s="369"/>
      <c r="DZ52" s="369"/>
      <c r="EA52" s="369"/>
      <c r="EB52" s="369"/>
      <c r="EC52" s="369"/>
      <c r="ED52" s="369"/>
      <c r="EE52" s="369"/>
      <c r="EF52" s="369"/>
      <c r="EG52" s="369"/>
      <c r="EH52" s="369"/>
      <c r="EI52" s="369"/>
      <c r="EJ52" s="369"/>
      <c r="EK52" s="369"/>
      <c r="EL52" s="369"/>
      <c r="EM52" s="369"/>
      <c r="EN52" s="369"/>
      <c r="EO52" s="369"/>
      <c r="EP52" s="369"/>
      <c r="EQ52" s="369"/>
      <c r="ER52" s="369"/>
      <c r="ES52" s="369"/>
      <c r="ET52" s="369"/>
      <c r="EU52" s="369"/>
      <c r="EV52" s="369"/>
      <c r="EW52" s="369"/>
      <c r="EX52" s="369"/>
      <c r="EY52" s="369"/>
      <c r="EZ52" s="369"/>
      <c r="FA52" s="369"/>
      <c r="FB52" s="369"/>
    </row>
    <row r="53" spans="1:158">
      <c r="A53" s="423">
        <f t="shared" si="8"/>
        <v>559</v>
      </c>
      <c r="D53" s="69">
        <v>0</v>
      </c>
      <c r="F53" s="162"/>
      <c r="G53" s="162"/>
      <c r="H53" s="163"/>
      <c r="L53" s="69">
        <f t="shared" ref="L53:L59" si="25">E53+G53+K53</f>
        <v>0</v>
      </c>
      <c r="N53" s="377"/>
      <c r="O53" s="377"/>
      <c r="P53" s="377">
        <f t="shared" si="0"/>
        <v>0</v>
      </c>
      <c r="Q53" s="378"/>
      <c r="R53" s="377">
        <f t="shared" si="2"/>
        <v>0</v>
      </c>
      <c r="T53" s="379"/>
      <c r="U53" s="379"/>
      <c r="V53" s="379"/>
      <c r="W53" s="379"/>
      <c r="X53" s="379"/>
      <c r="Y53" s="379"/>
    </row>
    <row r="54" spans="1:158">
      <c r="A54" s="423">
        <f t="shared" si="8"/>
        <v>560</v>
      </c>
      <c r="B54" s="369" t="s">
        <v>882</v>
      </c>
      <c r="D54" s="69">
        <v>0</v>
      </c>
      <c r="F54" s="162"/>
      <c r="G54" s="162"/>
      <c r="H54" s="163"/>
      <c r="L54" s="69">
        <f t="shared" si="25"/>
        <v>0</v>
      </c>
      <c r="N54" s="377"/>
      <c r="O54" s="377"/>
      <c r="P54" s="377">
        <f t="shared" si="0"/>
        <v>0</v>
      </c>
      <c r="Q54" s="564"/>
      <c r="R54" s="377">
        <f t="shared" si="2"/>
        <v>0</v>
      </c>
      <c r="T54" s="379"/>
      <c r="U54" s="379"/>
      <c r="V54" s="379"/>
      <c r="W54" s="379"/>
      <c r="X54" s="379"/>
      <c r="Y54" s="379"/>
    </row>
    <row r="55" spans="1:158" ht="47.25">
      <c r="A55" s="423">
        <f t="shared" si="8"/>
        <v>561</v>
      </c>
      <c r="B55" s="362" t="s">
        <v>883</v>
      </c>
      <c r="C55" s="69">
        <v>375000</v>
      </c>
      <c r="D55" s="162">
        <v>375000</v>
      </c>
      <c r="E55" s="162"/>
      <c r="F55" s="162">
        <v>125000</v>
      </c>
      <c r="G55" s="162">
        <v>125000</v>
      </c>
      <c r="H55" s="163"/>
      <c r="I55" s="162"/>
      <c r="J55" s="162">
        <v>125000</v>
      </c>
      <c r="K55" s="162">
        <f>J55</f>
        <v>125000</v>
      </c>
      <c r="L55" s="162">
        <f t="shared" si="25"/>
        <v>250000</v>
      </c>
      <c r="M55" s="164"/>
      <c r="N55" s="165"/>
      <c r="O55" s="165">
        <v>254823</v>
      </c>
      <c r="P55" s="165">
        <f t="shared" si="0"/>
        <v>254823</v>
      </c>
      <c r="Q55" s="562" t="s">
        <v>884</v>
      </c>
      <c r="R55" s="165">
        <f t="shared" si="2"/>
        <v>254823</v>
      </c>
      <c r="S55" s="164"/>
      <c r="T55" s="53">
        <v>257371</v>
      </c>
      <c r="U55" s="379"/>
      <c r="V55" s="53">
        <v>259945</v>
      </c>
      <c r="W55" s="53">
        <f t="shared" ref="W55:W59" si="26">U55+V55</f>
        <v>259945</v>
      </c>
      <c r="X55" s="53">
        <f t="shared" ref="X55:X59" si="27">T55+W55</f>
        <v>517316</v>
      </c>
      <c r="Y55" s="379"/>
    </row>
    <row r="56" spans="1:158" ht="31.5">
      <c r="A56" s="423">
        <f t="shared" si="8"/>
        <v>562</v>
      </c>
      <c r="B56" s="362" t="s">
        <v>885</v>
      </c>
      <c r="C56" s="69">
        <v>210000</v>
      </c>
      <c r="D56" s="162">
        <v>210000</v>
      </c>
      <c r="E56" s="162"/>
      <c r="F56" s="162">
        <v>70000</v>
      </c>
      <c r="G56" s="162">
        <v>70000</v>
      </c>
      <c r="H56" s="163"/>
      <c r="I56" s="162"/>
      <c r="J56" s="162">
        <v>70000</v>
      </c>
      <c r="K56" s="162">
        <f t="shared" ref="K56:K59" si="28">J56</f>
        <v>70000</v>
      </c>
      <c r="L56" s="162">
        <f t="shared" si="25"/>
        <v>140000</v>
      </c>
      <c r="M56" s="164"/>
      <c r="N56" s="165"/>
      <c r="O56" s="165">
        <f>31000+237000+10000</f>
        <v>278000</v>
      </c>
      <c r="P56" s="165">
        <f t="shared" si="0"/>
        <v>278000</v>
      </c>
      <c r="Q56" s="562" t="s">
        <v>886</v>
      </c>
      <c r="R56" s="165">
        <f t="shared" si="2"/>
        <v>278000</v>
      </c>
      <c r="S56" s="164"/>
      <c r="T56" s="53">
        <f>31000+248000</f>
        <v>279000</v>
      </c>
      <c r="U56" s="379"/>
      <c r="V56" s="53">
        <v>284000</v>
      </c>
      <c r="W56" s="53">
        <f t="shared" si="26"/>
        <v>284000</v>
      </c>
      <c r="X56" s="53">
        <f t="shared" si="27"/>
        <v>563000</v>
      </c>
      <c r="Y56" s="380" t="s">
        <v>887</v>
      </c>
    </row>
    <row r="57" spans="1:158" ht="26.85" customHeight="1">
      <c r="A57" s="423">
        <f>A56+1</f>
        <v>563</v>
      </c>
      <c r="B57" s="362" t="s">
        <v>888</v>
      </c>
      <c r="C57" s="69">
        <v>308811</v>
      </c>
      <c r="D57" s="162">
        <v>528811</v>
      </c>
      <c r="E57" s="162">
        <v>295167</v>
      </c>
      <c r="F57" s="162">
        <v>176270.33333333334</v>
      </c>
      <c r="G57" s="162">
        <v>101270</v>
      </c>
      <c r="H57" s="163" t="s">
        <v>889</v>
      </c>
      <c r="I57" s="162">
        <v>11000</v>
      </c>
      <c r="J57" s="162">
        <v>165270</v>
      </c>
      <c r="K57" s="162">
        <f t="shared" si="28"/>
        <v>165270</v>
      </c>
      <c r="L57" s="162">
        <f t="shared" si="25"/>
        <v>561707</v>
      </c>
      <c r="M57" s="164"/>
      <c r="N57" s="165">
        <v>11000</v>
      </c>
      <c r="O57" s="165">
        <v>102937</v>
      </c>
      <c r="P57" s="165">
        <f t="shared" si="0"/>
        <v>113937</v>
      </c>
      <c r="Q57" s="562" t="s">
        <v>890</v>
      </c>
      <c r="R57" s="165">
        <f t="shared" si="2"/>
        <v>113937</v>
      </c>
      <c r="S57" s="164"/>
      <c r="T57" s="53">
        <v>102937</v>
      </c>
      <c r="U57" s="379">
        <v>11000</v>
      </c>
      <c r="V57" s="53">
        <v>102937</v>
      </c>
      <c r="W57" s="53">
        <f t="shared" si="26"/>
        <v>113937</v>
      </c>
      <c r="X57" s="53">
        <f t="shared" si="27"/>
        <v>216874</v>
      </c>
      <c r="Y57" s="379"/>
    </row>
    <row r="58" spans="1:158">
      <c r="A58" s="423" t="s">
        <v>891</v>
      </c>
      <c r="B58" s="362" t="s">
        <v>179</v>
      </c>
      <c r="D58" s="162"/>
      <c r="E58" s="162"/>
      <c r="F58" s="162"/>
      <c r="G58" s="162"/>
      <c r="H58" s="163"/>
      <c r="I58" s="162"/>
      <c r="J58" s="162"/>
      <c r="K58" s="162">
        <f>I60</f>
        <v>11000</v>
      </c>
      <c r="L58" s="162">
        <f t="shared" si="25"/>
        <v>11000</v>
      </c>
      <c r="M58" s="164"/>
      <c r="N58" s="165"/>
      <c r="O58" s="165"/>
      <c r="P58" s="165">
        <f t="shared" si="0"/>
        <v>0</v>
      </c>
      <c r="Q58" s="562"/>
      <c r="R58" s="165">
        <f t="shared" si="2"/>
        <v>0</v>
      </c>
      <c r="S58" s="164"/>
      <c r="T58" s="379"/>
      <c r="U58" s="379"/>
      <c r="V58" s="379"/>
      <c r="W58" s="53">
        <f t="shared" si="26"/>
        <v>0</v>
      </c>
      <c r="X58" s="53">
        <f t="shared" si="27"/>
        <v>0</v>
      </c>
      <c r="Y58" s="379"/>
    </row>
    <row r="59" spans="1:158" ht="53.25" customHeight="1">
      <c r="A59" s="423">
        <f>A57+1</f>
        <v>564</v>
      </c>
      <c r="B59" s="362" t="s">
        <v>405</v>
      </c>
      <c r="C59" s="69">
        <f>'[4]Salary Summary GC Adopted'!Y8</f>
        <v>2338995.028037495</v>
      </c>
      <c r="D59" s="162">
        <v>2668533.5683578765</v>
      </c>
      <c r="E59" s="362">
        <v>858925</v>
      </c>
      <c r="F59" s="362">
        <f>'[3]Salary Summary 19 for 2019-2021'!L9</f>
        <v>851495.48326504871</v>
      </c>
      <c r="G59" s="362">
        <v>851495.48326504871</v>
      </c>
      <c r="H59" s="305"/>
      <c r="I59" s="362"/>
      <c r="J59" s="362">
        <f>'[3]Salary Summary 20 for 2019-2021'!P9</f>
        <v>875986.81864505936</v>
      </c>
      <c r="K59" s="162">
        <f t="shared" si="28"/>
        <v>875986.81864505936</v>
      </c>
      <c r="L59" s="362">
        <f t="shared" si="25"/>
        <v>2586407.301910108</v>
      </c>
      <c r="M59" s="573"/>
      <c r="N59" s="574"/>
      <c r="O59" s="574">
        <f>'Salary Summary 21 for 2022-2024'!M10</f>
        <v>905902.44223633094</v>
      </c>
      <c r="P59" s="574">
        <f t="shared" si="0"/>
        <v>905902.44223633094</v>
      </c>
      <c r="Q59" s="170"/>
      <c r="R59" s="574">
        <f t="shared" si="2"/>
        <v>905902.44223633094</v>
      </c>
      <c r="S59" s="573"/>
      <c r="T59" s="379">
        <f>'Salary Summary 21 for 2022-2024'!Q10</f>
        <v>935800.71228255995</v>
      </c>
      <c r="U59" s="379"/>
      <c r="V59" s="379">
        <f>'Salary Summary 21 for 2022-2024'!U10</f>
        <v>965951.43357409746</v>
      </c>
      <c r="W59" s="53">
        <f t="shared" si="26"/>
        <v>965951.43357409746</v>
      </c>
      <c r="X59" s="53">
        <f t="shared" si="27"/>
        <v>1901752.1458566575</v>
      </c>
      <c r="Y59" s="575"/>
    </row>
    <row r="60" spans="1:158" s="571" customFormat="1">
      <c r="A60" s="568">
        <f t="shared" si="8"/>
        <v>565</v>
      </c>
      <c r="B60" s="571" t="s">
        <v>892</v>
      </c>
      <c r="C60" s="576">
        <f>SUM(C55:C59)</f>
        <v>3232806.028037495</v>
      </c>
      <c r="D60" s="576">
        <f t="shared" ref="D60:I60" si="29">SUM(D55:D59)</f>
        <v>3782344.5683578765</v>
      </c>
      <c r="E60" s="576">
        <f t="shared" si="29"/>
        <v>1154092</v>
      </c>
      <c r="F60" s="576">
        <f t="shared" si="29"/>
        <v>1222765.8165983821</v>
      </c>
      <c r="G60" s="576">
        <f t="shared" si="29"/>
        <v>1147765.4832650488</v>
      </c>
      <c r="H60" s="576">
        <f t="shared" si="29"/>
        <v>0</v>
      </c>
      <c r="I60" s="576">
        <f t="shared" si="29"/>
        <v>11000</v>
      </c>
      <c r="J60" s="576">
        <f>SUM(J55:J59)</f>
        <v>1236256.8186450594</v>
      </c>
      <c r="K60" s="576">
        <f>SUM(K55:K59)</f>
        <v>1247256.8186450594</v>
      </c>
      <c r="L60" s="174">
        <f>E60+G60+K60</f>
        <v>3549114.301910108</v>
      </c>
      <c r="M60" s="175"/>
      <c r="N60" s="577">
        <f t="shared" ref="N60:P60" si="30">SUM(N55:N59)</f>
        <v>11000</v>
      </c>
      <c r="O60" s="577">
        <f t="shared" si="30"/>
        <v>1541662.4422363308</v>
      </c>
      <c r="P60" s="577">
        <f t="shared" si="30"/>
        <v>1552662.4422363308</v>
      </c>
      <c r="Q60" s="578"/>
      <c r="R60" s="577">
        <f t="shared" si="2"/>
        <v>1552662.4422363308</v>
      </c>
      <c r="S60" s="579"/>
      <c r="T60" s="580">
        <f t="shared" ref="T60:Y60" si="31">SUM(T55:T59)</f>
        <v>1575108.7122825598</v>
      </c>
      <c r="U60" s="580">
        <f t="shared" si="31"/>
        <v>11000</v>
      </c>
      <c r="V60" s="580">
        <f t="shared" si="31"/>
        <v>1612833.4335740975</v>
      </c>
      <c r="W60" s="580">
        <f t="shared" si="31"/>
        <v>1623833.4335740975</v>
      </c>
      <c r="X60" s="580">
        <f t="shared" si="31"/>
        <v>3198942.1458566575</v>
      </c>
      <c r="Y60" s="580">
        <f t="shared" si="31"/>
        <v>0</v>
      </c>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369"/>
      <c r="DP60" s="369"/>
      <c r="DQ60" s="369"/>
      <c r="DR60" s="369"/>
      <c r="DS60" s="369"/>
      <c r="DT60" s="369"/>
      <c r="DU60" s="369"/>
      <c r="DV60" s="369"/>
      <c r="DW60" s="369"/>
      <c r="DX60" s="369"/>
      <c r="DY60" s="369"/>
      <c r="DZ60" s="369"/>
      <c r="EA60" s="369"/>
      <c r="EB60" s="369"/>
      <c r="EC60" s="369"/>
      <c r="ED60" s="369"/>
      <c r="EE60" s="369"/>
      <c r="EF60" s="369"/>
      <c r="EG60" s="369"/>
      <c r="EH60" s="369"/>
      <c r="EI60" s="369"/>
      <c r="EJ60" s="369"/>
      <c r="EK60" s="369"/>
      <c r="EL60" s="369"/>
      <c r="EM60" s="369"/>
      <c r="EN60" s="369"/>
      <c r="EO60" s="369"/>
      <c r="EP60" s="369"/>
      <c r="EQ60" s="369"/>
      <c r="ER60" s="369"/>
      <c r="ES60" s="369"/>
      <c r="ET60" s="369"/>
      <c r="EU60" s="369"/>
      <c r="EV60" s="369"/>
      <c r="EW60" s="369"/>
      <c r="EX60" s="369"/>
      <c r="EY60" s="369"/>
      <c r="EZ60" s="369"/>
      <c r="FA60" s="369"/>
      <c r="FB60" s="369"/>
    </row>
    <row r="61" spans="1:158">
      <c r="A61" s="423">
        <f t="shared" si="8"/>
        <v>566</v>
      </c>
      <c r="F61" s="162"/>
      <c r="G61" s="162"/>
      <c r="H61" s="163"/>
      <c r="N61" s="377"/>
      <c r="O61" s="377"/>
      <c r="P61" s="377">
        <f t="shared" si="0"/>
        <v>0</v>
      </c>
      <c r="Q61" s="378"/>
      <c r="R61" s="377">
        <f t="shared" si="2"/>
        <v>0</v>
      </c>
      <c r="T61" s="379"/>
      <c r="U61" s="379"/>
      <c r="V61" s="379"/>
      <c r="W61" s="379"/>
      <c r="X61" s="379"/>
      <c r="Y61" s="379"/>
    </row>
    <row r="62" spans="1:158" s="390" customFormat="1" ht="16.149999999999999" thickBot="1">
      <c r="A62" s="581">
        <f t="shared" si="8"/>
        <v>567</v>
      </c>
      <c r="B62" s="390" t="s">
        <v>893</v>
      </c>
      <c r="C62" s="582">
        <f>+C60+C52+C35+C28</f>
        <v>13848606.371049905</v>
      </c>
      <c r="D62" s="582">
        <f t="shared" ref="D62:F62" si="32">D28+D35+D52+D60</f>
        <v>18775647.944265053</v>
      </c>
      <c r="E62" s="582">
        <f t="shared" si="32"/>
        <v>4796671</v>
      </c>
      <c r="F62" s="582">
        <f t="shared" si="32"/>
        <v>6696896.4126750743</v>
      </c>
      <c r="G62" s="582">
        <f>G28+G35+G52+G60</f>
        <v>6140546.0793417413</v>
      </c>
      <c r="H62" s="583"/>
      <c r="I62" s="582">
        <f t="shared" ref="I62:L62" si="33">I28+I35+I52+I60</f>
        <v>2629933</v>
      </c>
      <c r="J62" s="582">
        <f>J28+J35+J52+J60</f>
        <v>5246034.8268409492</v>
      </c>
      <c r="K62" s="582">
        <f>K28+K35+K52+K60</f>
        <v>7875967.8268409492</v>
      </c>
      <c r="L62" s="582">
        <f t="shared" si="33"/>
        <v>18813184.906182691</v>
      </c>
      <c r="M62" s="584"/>
      <c r="N62" s="585">
        <f t="shared" ref="N62:P62" si="34">N28+N35+N52+N60</f>
        <v>3178433</v>
      </c>
      <c r="O62" s="585">
        <f t="shared" si="34"/>
        <v>6253290.6385645587</v>
      </c>
      <c r="P62" s="585">
        <f t="shared" si="34"/>
        <v>9481723.6385645587</v>
      </c>
      <c r="Q62" s="391"/>
      <c r="R62" s="585">
        <f t="shared" si="2"/>
        <v>9481723.6385645587</v>
      </c>
      <c r="S62" s="584"/>
      <c r="T62" s="586">
        <f t="shared" ref="T62:Y62" si="35">T28+T35+T52+T60</f>
        <v>7189190.4428815274</v>
      </c>
      <c r="U62" s="586">
        <f t="shared" si="35"/>
        <v>2213000</v>
      </c>
      <c r="V62" s="586">
        <f t="shared" si="35"/>
        <v>6986877.5993546806</v>
      </c>
      <c r="W62" s="586">
        <f t="shared" si="35"/>
        <v>9199877.5993546806</v>
      </c>
      <c r="X62" s="586">
        <f t="shared" si="35"/>
        <v>16389068.042236209</v>
      </c>
      <c r="Y62" s="586">
        <f t="shared" si="35"/>
        <v>0</v>
      </c>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c r="BW62" s="369"/>
      <c r="BX62" s="369"/>
      <c r="BY62" s="369"/>
      <c r="BZ62" s="369"/>
      <c r="CA62" s="369"/>
      <c r="CB62" s="369"/>
      <c r="CC62" s="369"/>
      <c r="CD62" s="369"/>
      <c r="CE62" s="369"/>
      <c r="CF62" s="369"/>
      <c r="CG62" s="369"/>
      <c r="CH62" s="369"/>
      <c r="CI62" s="369"/>
      <c r="CJ62" s="369"/>
      <c r="CK62" s="369"/>
      <c r="CL62" s="369"/>
      <c r="CM62" s="369"/>
      <c r="CN62" s="369"/>
      <c r="CO62" s="369"/>
      <c r="CP62" s="369"/>
      <c r="CQ62" s="369"/>
      <c r="CR62" s="369"/>
      <c r="CS62" s="369"/>
      <c r="CT62" s="369"/>
      <c r="CU62" s="369"/>
      <c r="CV62" s="369"/>
      <c r="CW62" s="369"/>
      <c r="CX62" s="369"/>
      <c r="CY62" s="369"/>
      <c r="CZ62" s="369"/>
      <c r="DA62" s="369"/>
      <c r="DB62" s="369"/>
      <c r="DC62" s="369"/>
      <c r="DD62" s="369"/>
      <c r="DE62" s="369"/>
      <c r="DF62" s="369"/>
      <c r="DG62" s="369"/>
      <c r="DH62" s="369"/>
      <c r="DI62" s="369"/>
      <c r="DJ62" s="369"/>
      <c r="DK62" s="369"/>
      <c r="DL62" s="369"/>
      <c r="DM62" s="369"/>
      <c r="DN62" s="369"/>
      <c r="DO62" s="369"/>
      <c r="DP62" s="369"/>
      <c r="DQ62" s="369"/>
      <c r="DR62" s="369"/>
      <c r="DS62" s="369"/>
      <c r="DT62" s="369"/>
      <c r="DU62" s="369"/>
      <c r="DV62" s="369"/>
      <c r="DW62" s="369"/>
      <c r="DX62" s="369"/>
      <c r="DY62" s="369"/>
      <c r="DZ62" s="369"/>
      <c r="EA62" s="369"/>
      <c r="EB62" s="369"/>
      <c r="EC62" s="369"/>
      <c r="ED62" s="369"/>
      <c r="EE62" s="369"/>
      <c r="EF62" s="369"/>
      <c r="EG62" s="369"/>
      <c r="EH62" s="369"/>
      <c r="EI62" s="369"/>
      <c r="EJ62" s="369"/>
      <c r="EK62" s="369"/>
      <c r="EL62" s="369"/>
      <c r="EM62" s="369"/>
      <c r="EN62" s="369"/>
      <c r="EO62" s="369"/>
      <c r="EP62" s="369"/>
      <c r="EQ62" s="369"/>
      <c r="ER62" s="369"/>
      <c r="ES62" s="369"/>
      <c r="ET62" s="369"/>
      <c r="EU62" s="369"/>
      <c r="EV62" s="369"/>
      <c r="EW62" s="369"/>
      <c r="EX62" s="369"/>
      <c r="EY62" s="369"/>
      <c r="EZ62" s="369"/>
      <c r="FA62" s="369"/>
      <c r="FB62" s="369"/>
    </row>
    <row r="63" spans="1:158" s="369" customFormat="1">
      <c r="A63" s="557"/>
      <c r="C63" s="587"/>
      <c r="D63" s="587"/>
      <c r="E63" s="587"/>
      <c r="F63" s="587"/>
      <c r="G63" s="587"/>
      <c r="H63" s="588"/>
      <c r="I63" s="587"/>
      <c r="J63" s="587"/>
      <c r="K63" s="587"/>
      <c r="L63" s="587"/>
      <c r="M63" s="589"/>
      <c r="N63" s="587"/>
      <c r="O63" s="587"/>
      <c r="P63" s="587"/>
      <c r="Q63" s="590"/>
      <c r="R63" s="587"/>
      <c r="S63" s="589"/>
    </row>
    <row r="64" spans="1:158" s="369" customFormat="1">
      <c r="A64" s="557"/>
      <c r="C64" s="587"/>
      <c r="D64" s="587"/>
      <c r="E64" s="587"/>
      <c r="F64" s="587"/>
      <c r="G64" s="587">
        <f>SUBTOTAL(9,G15:G55)</f>
        <v>8758061.1921533849</v>
      </c>
      <c r="H64" s="588"/>
      <c r="I64" s="587"/>
      <c r="J64" s="587"/>
      <c r="K64" s="587"/>
      <c r="L64" s="587"/>
      <c r="M64" s="589"/>
      <c r="N64" s="587"/>
      <c r="O64" s="587"/>
      <c r="P64" s="587"/>
      <c r="Q64" s="590"/>
      <c r="R64" s="587"/>
      <c r="S64" s="589"/>
    </row>
    <row r="65" spans="1:19" s="369" customFormat="1">
      <c r="A65" s="557"/>
      <c r="C65" s="587"/>
      <c r="D65" s="587"/>
      <c r="E65" s="587"/>
      <c r="F65" s="587"/>
      <c r="G65" s="587">
        <v>240000</v>
      </c>
      <c r="H65" s="588"/>
      <c r="I65" s="587"/>
      <c r="J65" s="587"/>
      <c r="K65" s="587"/>
      <c r="L65" s="587"/>
      <c r="M65" s="589"/>
      <c r="N65" s="587"/>
      <c r="O65" s="587"/>
      <c r="P65" s="587"/>
      <c r="Q65" s="590"/>
      <c r="R65" s="587"/>
      <c r="S65" s="589"/>
    </row>
    <row r="66" spans="1:19" s="369" customFormat="1">
      <c r="A66" s="557"/>
      <c r="C66" s="587"/>
      <c r="D66" s="587"/>
      <c r="E66" s="587"/>
      <c r="F66" s="587"/>
      <c r="G66" s="587"/>
      <c r="H66" s="588"/>
      <c r="I66" s="587"/>
      <c r="J66" s="587"/>
      <c r="K66" s="587"/>
      <c r="L66" s="587"/>
      <c r="M66" s="589"/>
      <c r="N66" s="587"/>
      <c r="O66" s="587"/>
      <c r="P66" s="587"/>
      <c r="Q66" s="590"/>
      <c r="R66" s="587"/>
      <c r="S66" s="589"/>
    </row>
    <row r="68" spans="1:19">
      <c r="A68" s="591"/>
      <c r="B68" s="213"/>
      <c r="C68" s="213"/>
      <c r="D68" s="213"/>
      <c r="E68" s="213"/>
      <c r="F68" s="213"/>
      <c r="G68" s="213"/>
      <c r="H68" s="169"/>
      <c r="I68" s="213"/>
      <c r="J68" s="213"/>
      <c r="K68" s="213"/>
      <c r="L68" s="213"/>
      <c r="M68" s="393"/>
      <c r="N68" s="213"/>
      <c r="O68" s="213"/>
      <c r="P68" s="213"/>
      <c r="R68" s="213"/>
      <c r="S68" s="393"/>
    </row>
    <row r="69" spans="1:19" s="9" customFormat="1">
      <c r="A69" s="591"/>
      <c r="B69" s="213"/>
      <c r="C69" s="213"/>
      <c r="D69" s="213"/>
      <c r="E69" s="213"/>
      <c r="F69" s="213"/>
      <c r="G69" s="213"/>
      <c r="H69" s="169"/>
      <c r="I69" s="213"/>
      <c r="J69" s="213"/>
      <c r="K69" s="213"/>
      <c r="L69" s="213"/>
      <c r="M69" s="393"/>
      <c r="N69" s="213"/>
      <c r="O69" s="213"/>
      <c r="P69" s="213"/>
      <c r="Q69" s="361"/>
      <c r="R69" s="213"/>
      <c r="S69" s="393"/>
    </row>
    <row r="70" spans="1:19" s="9" customFormat="1">
      <c r="A70" s="591"/>
      <c r="B70" s="213"/>
      <c r="C70" s="213"/>
      <c r="D70" s="213"/>
      <c r="E70" s="213"/>
      <c r="F70" s="213"/>
      <c r="G70" s="213"/>
      <c r="H70" s="169"/>
      <c r="I70" s="213"/>
      <c r="J70" s="213"/>
      <c r="K70" s="213"/>
      <c r="L70" s="213"/>
      <c r="M70" s="393"/>
      <c r="N70" s="213"/>
      <c r="O70" s="213"/>
      <c r="P70" s="213"/>
      <c r="Q70" s="361"/>
      <c r="R70" s="213"/>
      <c r="S70" s="393"/>
    </row>
    <row r="71" spans="1:19">
      <c r="A71" s="591"/>
      <c r="B71" s="213"/>
      <c r="C71" s="213"/>
      <c r="D71" s="213"/>
      <c r="E71" s="213"/>
      <c r="F71" s="213"/>
      <c r="G71" s="213"/>
      <c r="H71" s="169"/>
      <c r="I71" s="213"/>
      <c r="J71" s="213"/>
      <c r="K71" s="213"/>
      <c r="L71" s="213"/>
      <c r="M71" s="393"/>
      <c r="N71" s="213"/>
      <c r="O71" s="213"/>
      <c r="P71" s="213"/>
      <c r="R71" s="213"/>
      <c r="S71" s="393"/>
    </row>
    <row r="72" spans="1:19">
      <c r="A72" s="591"/>
      <c r="B72" s="213"/>
      <c r="C72" s="213"/>
      <c r="D72" s="213"/>
      <c r="E72" s="213"/>
      <c r="F72" s="213"/>
      <c r="G72" s="213"/>
      <c r="H72" s="169"/>
      <c r="I72" s="213"/>
      <c r="J72" s="213"/>
      <c r="K72" s="213"/>
      <c r="L72" s="213"/>
      <c r="M72" s="393"/>
      <c r="N72" s="213"/>
      <c r="O72" s="213"/>
      <c r="P72" s="213"/>
      <c r="R72" s="213"/>
      <c r="S72" s="393"/>
    </row>
    <row r="73" spans="1:19" s="9" customFormat="1">
      <c r="A73" s="591"/>
      <c r="B73" s="213"/>
      <c r="C73" s="214"/>
      <c r="D73" s="214"/>
      <c r="E73" s="214"/>
      <c r="F73" s="214"/>
      <c r="G73" s="214"/>
      <c r="H73" s="215"/>
      <c r="I73" s="214"/>
      <c r="J73" s="214"/>
      <c r="K73" s="214"/>
      <c r="L73" s="214"/>
      <c r="M73" s="216"/>
      <c r="N73" s="214"/>
      <c r="O73" s="214"/>
      <c r="P73" s="214"/>
      <c r="Q73" s="361"/>
      <c r="R73" s="214"/>
      <c r="S73" s="216"/>
    </row>
    <row r="74" spans="1:19" s="9" customFormat="1">
      <c r="A74" s="591"/>
      <c r="B74" s="213"/>
      <c r="C74" s="214"/>
      <c r="D74" s="214"/>
      <c r="E74" s="214"/>
      <c r="F74" s="214"/>
      <c r="G74" s="214"/>
      <c r="H74" s="215"/>
      <c r="I74" s="214"/>
      <c r="J74" s="214"/>
      <c r="K74" s="214"/>
      <c r="L74" s="214"/>
      <c r="M74" s="216"/>
      <c r="N74" s="214"/>
      <c r="O74" s="214"/>
      <c r="P74" s="214"/>
      <c r="Q74" s="361"/>
      <c r="R74" s="214"/>
      <c r="S74" s="216"/>
    </row>
    <row r="75" spans="1:19" s="9" customFormat="1">
      <c r="A75" s="591"/>
      <c r="B75" s="213"/>
      <c r="C75" s="214"/>
      <c r="D75" s="214"/>
      <c r="E75" s="214"/>
      <c r="F75" s="214"/>
      <c r="G75" s="214"/>
      <c r="H75" s="215"/>
      <c r="I75" s="214"/>
      <c r="J75" s="214"/>
      <c r="K75" s="214"/>
      <c r="L75" s="214"/>
      <c r="M75" s="216"/>
      <c r="N75" s="214"/>
      <c r="O75" s="214"/>
      <c r="P75" s="214"/>
      <c r="Q75" s="361"/>
      <c r="R75" s="214"/>
      <c r="S75" s="216"/>
    </row>
    <row r="76" spans="1:19" s="9" customFormat="1">
      <c r="A76" s="591"/>
      <c r="B76" s="213"/>
      <c r="C76" s="214"/>
      <c r="D76" s="214"/>
      <c r="E76" s="214"/>
      <c r="F76" s="214"/>
      <c r="G76" s="214"/>
      <c r="H76" s="215"/>
      <c r="I76" s="214"/>
      <c r="J76" s="214"/>
      <c r="K76" s="214"/>
      <c r="L76" s="214"/>
      <c r="M76" s="216"/>
      <c r="N76" s="214"/>
      <c r="O76" s="214"/>
      <c r="P76" s="214"/>
      <c r="Q76" s="361"/>
      <c r="R76" s="214"/>
      <c r="S76" s="216"/>
    </row>
    <row r="77" spans="1:19" s="9" customFormat="1">
      <c r="A77" s="591"/>
      <c r="B77" s="213"/>
      <c r="C77" s="154"/>
      <c r="D77" s="154"/>
      <c r="E77" s="154"/>
      <c r="F77" s="154"/>
      <c r="G77" s="154"/>
      <c r="H77" s="150"/>
      <c r="I77" s="154"/>
      <c r="J77" s="154"/>
      <c r="K77" s="154"/>
      <c r="L77" s="154"/>
      <c r="M77" s="217"/>
      <c r="N77" s="154"/>
      <c r="O77" s="154"/>
      <c r="P77" s="154"/>
      <c r="Q77" s="361"/>
      <c r="R77" s="154"/>
      <c r="S77" s="217"/>
    </row>
    <row r="78" spans="1:19">
      <c r="A78" s="591"/>
      <c r="B78" s="213"/>
      <c r="C78" s="213"/>
      <c r="D78" s="213"/>
      <c r="E78" s="213"/>
      <c r="F78" s="213"/>
      <c r="G78" s="213"/>
      <c r="H78" s="169"/>
      <c r="I78" s="213"/>
      <c r="J78" s="213"/>
      <c r="K78" s="213"/>
      <c r="L78" s="213"/>
      <c r="M78" s="393"/>
      <c r="N78" s="213"/>
      <c r="O78" s="213"/>
      <c r="P78" s="213"/>
      <c r="R78" s="213"/>
      <c r="S78" s="393"/>
    </row>
    <row r="79" spans="1:19">
      <c r="A79" s="591"/>
      <c r="B79" s="213"/>
      <c r="C79" s="214"/>
      <c r="D79" s="214"/>
      <c r="E79" s="214"/>
      <c r="F79" s="214"/>
      <c r="G79" s="214"/>
      <c r="H79" s="215"/>
      <c r="I79" s="214"/>
      <c r="J79" s="214"/>
      <c r="K79" s="214"/>
      <c r="L79" s="214"/>
      <c r="M79" s="216"/>
      <c r="N79" s="214"/>
      <c r="O79" s="214"/>
      <c r="P79" s="214"/>
      <c r="Q79" s="446"/>
      <c r="R79" s="214"/>
      <c r="S79" s="216"/>
    </row>
    <row r="80" spans="1:19">
      <c r="A80" s="591"/>
      <c r="B80" s="213"/>
      <c r="C80" s="214"/>
      <c r="D80" s="214"/>
      <c r="E80" s="214"/>
      <c r="F80" s="214"/>
      <c r="G80" s="214"/>
      <c r="H80" s="215"/>
      <c r="I80" s="214"/>
      <c r="J80" s="214"/>
      <c r="K80" s="214"/>
      <c r="L80" s="214"/>
      <c r="M80" s="216"/>
      <c r="N80" s="214"/>
      <c r="O80" s="214"/>
      <c r="P80" s="214"/>
      <c r="Q80" s="446"/>
      <c r="R80" s="214"/>
      <c r="S80" s="216"/>
    </row>
    <row r="131" spans="7:7">
      <c r="G131" s="69">
        <f>F131</f>
        <v>0</v>
      </c>
    </row>
    <row r="156" spans="7:7">
      <c r="G156" s="69">
        <f>F156</f>
        <v>0</v>
      </c>
    </row>
    <row r="161" spans="7:7">
      <c r="G161" s="69">
        <f>F161</f>
        <v>0</v>
      </c>
    </row>
    <row r="162" spans="7:7">
      <c r="G162" s="69">
        <f>F162</f>
        <v>0</v>
      </c>
    </row>
    <row r="165" spans="7:7">
      <c r="G165" s="69">
        <f>F165</f>
        <v>0</v>
      </c>
    </row>
    <row r="166" spans="7:7">
      <c r="G166" s="69">
        <f>F166</f>
        <v>0</v>
      </c>
    </row>
    <row r="169" spans="7:7">
      <c r="G169" s="69">
        <f>F169</f>
        <v>0</v>
      </c>
    </row>
    <row r="170" spans="7:7">
      <c r="G170" s="69">
        <f>F170</f>
        <v>0</v>
      </c>
    </row>
    <row r="171" spans="7:7">
      <c r="G171" s="69">
        <f>F171</f>
        <v>0</v>
      </c>
    </row>
    <row r="172" spans="7:7">
      <c r="G172" s="69">
        <f>F172</f>
        <v>0</v>
      </c>
    </row>
  </sheetData>
  <autoFilter ref="B5:Q62" xr:uid="{00000000-0009-0000-0000-00000B000000}"/>
  <printOptions horizontalCentered="1" headings="1" gridLines="1"/>
  <pageMargins left="0.25" right="0.25" top="0.75" bottom="0.25" header="0.25" footer="0.25"/>
  <pageSetup scale="50" fitToHeight="3" orientation="landscape" r:id="rId1"/>
  <headerFooter>
    <oddFooter>Page &amp;P of &amp;N</oddFooter>
  </headerFooter>
  <rowBreaks count="1" manualBreakCount="1">
    <brk id="36" max="24" man="1"/>
  </rowBreaks>
  <colBreaks count="1" manualBreakCount="1">
    <brk id="17" min="1" max="6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057A0-D268-4048-82C2-591586025D9F}">
  <sheetPr>
    <tabColor rgb="FFFF0000"/>
    <pageSetUpPr fitToPage="1"/>
  </sheetPr>
  <dimension ref="A1:Z189"/>
  <sheetViews>
    <sheetView view="pageBreakPreview" zoomScale="75" zoomScaleNormal="100" zoomScaleSheetLayoutView="75" workbookViewId="0">
      <pane xSplit="10" ySplit="5" topLeftCell="M6" activePane="bottomRight" state="frozen"/>
      <selection activeCell="B23" sqref="B23"/>
      <selection pane="topRight" activeCell="B23" sqref="B23"/>
      <selection pane="bottomLeft" activeCell="B23" sqref="B23"/>
      <selection pane="bottomRight" activeCell="B23" sqref="B23"/>
    </sheetView>
  </sheetViews>
  <sheetFormatPr defaultColWidth="10.625" defaultRowHeight="15.75"/>
  <cols>
    <col min="1" max="1" width="11.375" style="161" customWidth="1"/>
    <col min="2" max="2" width="42.25" style="362" customWidth="1"/>
    <col min="3" max="3" width="14.625" style="69" hidden="1" customWidth="1"/>
    <col min="4" max="4" width="17.375" style="69" hidden="1" customWidth="1"/>
    <col min="5" max="5" width="14.25" style="69" hidden="1" customWidth="1"/>
    <col min="6" max="7" width="17" style="69" hidden="1" customWidth="1"/>
    <col min="8" max="8" width="18.125" style="211" hidden="1" customWidth="1"/>
    <col min="9" max="9" width="13.625" style="69" hidden="1" customWidth="1"/>
    <col min="10" max="10" width="16" style="69" customWidth="1"/>
    <col min="11" max="11" width="13.5" style="69" customWidth="1"/>
    <col min="12" max="12" width="12.25" style="69" hidden="1" customWidth="1"/>
    <col min="13" max="13" width="5.5" style="212" customWidth="1"/>
    <col min="14" max="14" width="10.5" style="69" customWidth="1"/>
    <col min="15" max="15" width="19.375" style="69" customWidth="1"/>
    <col min="16" max="16" width="13.625" style="69" customWidth="1"/>
    <col min="17" max="17" width="51.125" style="211" customWidth="1"/>
    <col min="18" max="18" width="13.625" style="69" customWidth="1"/>
    <col min="19" max="19" width="6.125" style="212" hidden="1" customWidth="1"/>
    <col min="20" max="20" width="20.875" style="362" hidden="1" customWidth="1"/>
    <col min="21" max="21" width="18" style="362" hidden="1" customWidth="1"/>
    <col min="22" max="22" width="20.375" style="362" hidden="1" customWidth="1"/>
    <col min="23" max="23" width="14.5" style="362" hidden="1" customWidth="1"/>
    <col min="24" max="24" width="19.875" style="362" hidden="1" customWidth="1"/>
    <col min="25" max="25" width="51.75" style="305" hidden="1" customWidth="1"/>
    <col min="26" max="16384" width="10.625" style="362"/>
  </cols>
  <sheetData>
    <row r="1" spans="1:26" s="9" customFormat="1" ht="16.149999999999999" customHeight="1">
      <c r="A1" s="1" t="s">
        <v>0</v>
      </c>
      <c r="C1" s="3"/>
      <c r="D1" s="3"/>
      <c r="E1" s="3"/>
      <c r="F1" s="3"/>
      <c r="G1" s="162"/>
      <c r="H1" s="163"/>
      <c r="I1" s="3"/>
      <c r="J1" s="3"/>
      <c r="K1" s="3"/>
      <c r="L1" s="3"/>
      <c r="M1" s="447"/>
      <c r="N1" s="357"/>
      <c r="O1" s="357"/>
      <c r="Q1" s="358" t="s">
        <v>1</v>
      </c>
      <c r="S1" s="359"/>
      <c r="Y1" s="358" t="s">
        <v>1</v>
      </c>
    </row>
    <row r="2" spans="1:26" s="9" customFormat="1" ht="16.149999999999999" customHeight="1">
      <c r="A2" s="10" t="s">
        <v>1123</v>
      </c>
      <c r="B2" s="4"/>
      <c r="C2" s="4"/>
      <c r="D2" s="4"/>
      <c r="E2" s="4"/>
      <c r="F2" s="4"/>
      <c r="G2" s="162"/>
      <c r="H2" s="163"/>
      <c r="I2" s="4"/>
      <c r="J2" s="4"/>
      <c r="K2" s="4"/>
      <c r="L2" s="4"/>
      <c r="M2" s="357"/>
      <c r="N2" s="357"/>
      <c r="O2" s="357"/>
      <c r="Q2" s="360" t="s">
        <v>2</v>
      </c>
      <c r="S2" s="359"/>
      <c r="Y2" s="699"/>
    </row>
    <row r="3" spans="1:26" ht="13.5" customHeight="1">
      <c r="A3" s="10" t="s">
        <v>894</v>
      </c>
      <c r="B3" s="69"/>
      <c r="D3" s="211"/>
      <c r="G3" s="162"/>
      <c r="H3" s="163"/>
      <c r="Q3" s="701"/>
      <c r="Y3" s="701"/>
      <c r="Z3" s="363" t="s">
        <v>4</v>
      </c>
    </row>
    <row r="4" spans="1:26" s="154" customFormat="1" ht="16.149999999999999" thickBot="1">
      <c r="A4" s="10"/>
      <c r="C4" s="364"/>
      <c r="D4" s="364"/>
      <c r="E4" s="364"/>
      <c r="F4" s="364"/>
      <c r="G4" s="364"/>
      <c r="H4" s="365"/>
      <c r="I4" s="364"/>
      <c r="J4" s="364"/>
      <c r="K4" s="364"/>
      <c r="L4" s="364"/>
      <c r="M4" s="366"/>
      <c r="N4" s="364"/>
      <c r="O4" s="364"/>
      <c r="P4" s="364"/>
      <c r="Q4" s="365"/>
      <c r="R4" s="364"/>
      <c r="S4" s="366"/>
      <c r="Y4" s="150"/>
    </row>
    <row r="5" spans="1:26" s="160" customFormat="1" ht="65.45" customHeight="1" thickBot="1">
      <c r="A5" s="19" t="s">
        <v>5</v>
      </c>
      <c r="B5" s="20" t="s">
        <v>6</v>
      </c>
      <c r="C5" s="21" t="s">
        <v>7</v>
      </c>
      <c r="D5" s="22" t="s">
        <v>8</v>
      </c>
      <c r="E5" s="23" t="s">
        <v>9</v>
      </c>
      <c r="F5" s="23" t="s">
        <v>10</v>
      </c>
      <c r="G5" s="155" t="s">
        <v>11</v>
      </c>
      <c r="H5" s="23" t="s">
        <v>12</v>
      </c>
      <c r="I5" s="25" t="s">
        <v>135</v>
      </c>
      <c r="J5" s="25" t="s">
        <v>136</v>
      </c>
      <c r="K5" s="25" t="s">
        <v>15</v>
      </c>
      <c r="L5" s="25" t="s">
        <v>16</v>
      </c>
      <c r="M5" s="26"/>
      <c r="N5" s="156" t="s">
        <v>17</v>
      </c>
      <c r="O5" s="156" t="s">
        <v>18</v>
      </c>
      <c r="P5" s="156" t="s">
        <v>19</v>
      </c>
      <c r="Q5" s="156" t="s">
        <v>137</v>
      </c>
      <c r="R5" s="156" t="s">
        <v>19</v>
      </c>
      <c r="S5" s="157"/>
      <c r="T5" s="158" t="s">
        <v>138</v>
      </c>
      <c r="U5" s="158" t="s">
        <v>139</v>
      </c>
      <c r="V5" s="158" t="s">
        <v>23</v>
      </c>
      <c r="W5" s="158" t="s">
        <v>24</v>
      </c>
      <c r="X5" s="158" t="s">
        <v>25</v>
      </c>
      <c r="Y5" s="452" t="s">
        <v>26</v>
      </c>
    </row>
    <row r="6" spans="1:26">
      <c r="A6" s="557">
        <f>Governance!A62+1</f>
        <v>568</v>
      </c>
      <c r="B6" s="369" t="s">
        <v>895</v>
      </c>
      <c r="D6" s="162"/>
      <c r="E6" s="162"/>
      <c r="F6" s="162"/>
      <c r="G6" s="162"/>
      <c r="H6" s="163"/>
      <c r="I6" s="162"/>
      <c r="J6" s="162"/>
      <c r="K6" s="162"/>
      <c r="L6" s="162"/>
      <c r="M6" s="164"/>
      <c r="N6" s="165"/>
      <c r="O6" s="165"/>
      <c r="P6" s="165"/>
      <c r="Q6" s="592"/>
      <c r="R6" s="165"/>
      <c r="S6" s="164"/>
      <c r="T6" s="379"/>
      <c r="U6" s="379"/>
      <c r="V6" s="379"/>
      <c r="W6" s="379"/>
      <c r="X6" s="379"/>
      <c r="Y6" s="380"/>
    </row>
    <row r="7" spans="1:26">
      <c r="A7" s="423">
        <f>A6+1</f>
        <v>569</v>
      </c>
      <c r="B7" s="362" t="s">
        <v>896</v>
      </c>
      <c r="C7" s="162">
        <v>1324388.8319999999</v>
      </c>
      <c r="D7" s="162">
        <v>0</v>
      </c>
      <c r="E7" s="162">
        <v>160487</v>
      </c>
      <c r="F7" s="162"/>
      <c r="G7" s="162"/>
      <c r="H7" s="163"/>
      <c r="I7" s="162"/>
      <c r="J7" s="162"/>
      <c r="K7" s="162"/>
      <c r="L7" s="181">
        <f t="shared" ref="L7:L20" si="0">E7+G7+K7</f>
        <v>160487</v>
      </c>
      <c r="M7" s="164"/>
      <c r="N7" s="165"/>
      <c r="O7" s="165"/>
      <c r="P7" s="165">
        <f t="shared" ref="P7:P70" si="1">N7+O7</f>
        <v>0</v>
      </c>
      <c r="Q7" s="170"/>
      <c r="R7" s="165">
        <f>P7</f>
        <v>0</v>
      </c>
      <c r="S7" s="164"/>
      <c r="T7" s="379"/>
      <c r="U7" s="379"/>
      <c r="V7" s="53"/>
      <c r="W7" s="53">
        <f>U7+V7</f>
        <v>0</v>
      </c>
      <c r="X7" s="191">
        <f>T7+W7</f>
        <v>0</v>
      </c>
      <c r="Y7" s="380"/>
    </row>
    <row r="8" spans="1:26">
      <c r="A8" s="161">
        <f t="shared" ref="A8:A69" si="2">A7+1</f>
        <v>570</v>
      </c>
      <c r="B8" s="362" t="s">
        <v>897</v>
      </c>
      <c r="C8" s="162">
        <v>38204</v>
      </c>
      <c r="D8" s="162">
        <v>0</v>
      </c>
      <c r="E8" s="162"/>
      <c r="F8" s="162"/>
      <c r="G8" s="162"/>
      <c r="H8" s="163"/>
      <c r="I8" s="162"/>
      <c r="J8" s="162"/>
      <c r="K8" s="162"/>
      <c r="L8" s="181">
        <f t="shared" si="0"/>
        <v>0</v>
      </c>
      <c r="M8" s="164"/>
      <c r="N8" s="165"/>
      <c r="O8" s="165"/>
      <c r="P8" s="165">
        <f t="shared" si="1"/>
        <v>0</v>
      </c>
      <c r="Q8" s="170"/>
      <c r="R8" s="165">
        <f t="shared" ref="R8:R71" si="3">P8</f>
        <v>0</v>
      </c>
      <c r="S8" s="164"/>
      <c r="T8" s="379"/>
      <c r="U8" s="379"/>
      <c r="V8" s="53"/>
      <c r="W8" s="53">
        <f t="shared" ref="W8:W22" si="4">U8+V8</f>
        <v>0</v>
      </c>
      <c r="X8" s="191">
        <f t="shared" ref="X8:X22" si="5">T8+W8</f>
        <v>0</v>
      </c>
      <c r="Y8" s="380"/>
    </row>
    <row r="9" spans="1:26">
      <c r="A9" s="161">
        <f t="shared" si="2"/>
        <v>571</v>
      </c>
      <c r="B9" s="305" t="s">
        <v>898</v>
      </c>
      <c r="C9" s="162"/>
      <c r="D9" s="162">
        <v>1000000</v>
      </c>
      <c r="E9" s="162"/>
      <c r="F9" s="162">
        <v>283000</v>
      </c>
      <c r="G9" s="162">
        <v>140000</v>
      </c>
      <c r="H9" s="163"/>
      <c r="I9" s="162"/>
      <c r="J9" s="162">
        <v>275000</v>
      </c>
      <c r="K9" s="162">
        <f>J9</f>
        <v>275000</v>
      </c>
      <c r="L9" s="181">
        <f t="shared" si="0"/>
        <v>415000</v>
      </c>
      <c r="M9" s="164"/>
      <c r="N9" s="165"/>
      <c r="O9" s="165">
        <v>275000</v>
      </c>
      <c r="P9" s="165">
        <f t="shared" si="1"/>
        <v>275000</v>
      </c>
      <c r="Q9" s="170"/>
      <c r="R9" s="165">
        <f t="shared" si="3"/>
        <v>275000</v>
      </c>
      <c r="S9" s="164"/>
      <c r="T9" s="379">
        <v>280000</v>
      </c>
      <c r="U9" s="379"/>
      <c r="V9" s="53">
        <v>280000</v>
      </c>
      <c r="W9" s="53">
        <f t="shared" si="4"/>
        <v>280000</v>
      </c>
      <c r="X9" s="191">
        <f t="shared" si="5"/>
        <v>560000</v>
      </c>
      <c r="Y9" s="380"/>
    </row>
    <row r="10" spans="1:26" ht="31.5">
      <c r="A10" s="161">
        <f t="shared" si="2"/>
        <v>572</v>
      </c>
      <c r="B10" s="305" t="s">
        <v>899</v>
      </c>
      <c r="C10" s="162"/>
      <c r="D10" s="162">
        <v>163000</v>
      </c>
      <c r="E10" s="162"/>
      <c r="F10" s="162">
        <v>55000</v>
      </c>
      <c r="G10" s="162">
        <v>40000</v>
      </c>
      <c r="H10" s="163"/>
      <c r="I10" s="162">
        <f>7500+1200+2000+1300</f>
        <v>12000</v>
      </c>
      <c r="J10" s="162">
        <v>68000</v>
      </c>
      <c r="K10" s="162">
        <f t="shared" ref="K10:K20" si="6">J10</f>
        <v>68000</v>
      </c>
      <c r="L10" s="181">
        <f t="shared" si="0"/>
        <v>108000</v>
      </c>
      <c r="M10" s="164"/>
      <c r="N10" s="165">
        <f>7500+1200+2000+1300</f>
        <v>12000</v>
      </c>
      <c r="O10" s="165">
        <v>68000</v>
      </c>
      <c r="P10" s="165">
        <f t="shared" si="1"/>
        <v>80000</v>
      </c>
      <c r="Q10" s="170" t="s">
        <v>900</v>
      </c>
      <c r="R10" s="165">
        <f t="shared" si="3"/>
        <v>80000</v>
      </c>
      <c r="S10" s="164"/>
      <c r="T10" s="379">
        <v>70000</v>
      </c>
      <c r="U10" s="379">
        <v>12000</v>
      </c>
      <c r="V10" s="53">
        <v>70000</v>
      </c>
      <c r="W10" s="53">
        <f t="shared" si="4"/>
        <v>82000</v>
      </c>
      <c r="X10" s="191">
        <f t="shared" si="5"/>
        <v>152000</v>
      </c>
      <c r="Y10" s="380"/>
    </row>
    <row r="11" spans="1:26" ht="31.5">
      <c r="A11" s="161">
        <f t="shared" si="2"/>
        <v>573</v>
      </c>
      <c r="B11" s="305" t="s">
        <v>901</v>
      </c>
      <c r="C11" s="162"/>
      <c r="D11" s="162">
        <v>66800</v>
      </c>
      <c r="E11" s="162"/>
      <c r="F11" s="162">
        <v>22000</v>
      </c>
      <c r="G11" s="162">
        <v>22000</v>
      </c>
      <c r="H11" s="163"/>
      <c r="I11" s="162"/>
      <c r="J11" s="162">
        <v>22000</v>
      </c>
      <c r="K11" s="162">
        <f t="shared" si="6"/>
        <v>22000</v>
      </c>
      <c r="L11" s="181">
        <f t="shared" si="0"/>
        <v>44000</v>
      </c>
      <c r="M11" s="164"/>
      <c r="N11" s="165"/>
      <c r="O11" s="165">
        <v>22000</v>
      </c>
      <c r="P11" s="165">
        <f t="shared" si="1"/>
        <v>22000</v>
      </c>
      <c r="Q11" s="170" t="s">
        <v>902</v>
      </c>
      <c r="R11" s="165">
        <f t="shared" si="3"/>
        <v>22000</v>
      </c>
      <c r="S11" s="164"/>
      <c r="T11" s="379">
        <v>25000</v>
      </c>
      <c r="U11" s="379"/>
      <c r="V11" s="53">
        <v>25000</v>
      </c>
      <c r="W11" s="53">
        <f t="shared" si="4"/>
        <v>25000</v>
      </c>
      <c r="X11" s="191">
        <f t="shared" si="5"/>
        <v>50000</v>
      </c>
      <c r="Y11" s="380"/>
    </row>
    <row r="12" spans="1:26" ht="22.5" customHeight="1">
      <c r="A12" s="161">
        <f t="shared" si="2"/>
        <v>574</v>
      </c>
      <c r="B12" s="305" t="s">
        <v>903</v>
      </c>
      <c r="C12" s="162"/>
      <c r="D12" s="162">
        <v>15000</v>
      </c>
      <c r="E12" s="162"/>
      <c r="F12" s="162">
        <v>3500</v>
      </c>
      <c r="G12" s="162">
        <v>1000</v>
      </c>
      <c r="H12" s="163" t="s">
        <v>904</v>
      </c>
      <c r="I12" s="162"/>
      <c r="J12" s="162">
        <v>1000</v>
      </c>
      <c r="K12" s="162">
        <f t="shared" si="6"/>
        <v>1000</v>
      </c>
      <c r="L12" s="181">
        <f t="shared" si="0"/>
        <v>2000</v>
      </c>
      <c r="M12" s="164"/>
      <c r="N12" s="165"/>
      <c r="O12" s="165">
        <v>1000</v>
      </c>
      <c r="P12" s="165">
        <f t="shared" si="1"/>
        <v>1000</v>
      </c>
      <c r="Q12" s="170" t="s">
        <v>905</v>
      </c>
      <c r="R12" s="165">
        <f t="shared" si="3"/>
        <v>1000</v>
      </c>
      <c r="S12" s="164"/>
      <c r="T12" s="379">
        <v>2000</v>
      </c>
      <c r="U12" s="379"/>
      <c r="V12" s="53">
        <v>2000</v>
      </c>
      <c r="W12" s="53">
        <f t="shared" si="4"/>
        <v>2000</v>
      </c>
      <c r="X12" s="191">
        <f t="shared" si="5"/>
        <v>4000</v>
      </c>
      <c r="Y12" s="380"/>
    </row>
    <row r="13" spans="1:26">
      <c r="A13" s="161">
        <f t="shared" si="2"/>
        <v>575</v>
      </c>
      <c r="B13" s="305" t="s">
        <v>906</v>
      </c>
      <c r="C13" s="162"/>
      <c r="D13" s="162">
        <v>95000</v>
      </c>
      <c r="E13" s="162"/>
      <c r="F13" s="162">
        <v>30000</v>
      </c>
      <c r="G13" s="162">
        <v>20000</v>
      </c>
      <c r="H13" s="163"/>
      <c r="I13" s="162">
        <v>12000</v>
      </c>
      <c r="J13" s="162">
        <v>18000</v>
      </c>
      <c r="K13" s="162">
        <f t="shared" si="6"/>
        <v>18000</v>
      </c>
      <c r="L13" s="181">
        <f t="shared" si="0"/>
        <v>38000</v>
      </c>
      <c r="M13" s="164"/>
      <c r="N13" s="165">
        <v>12000</v>
      </c>
      <c r="O13" s="165">
        <v>18000</v>
      </c>
      <c r="P13" s="165">
        <f t="shared" si="1"/>
        <v>30000</v>
      </c>
      <c r="Q13" s="170" t="s">
        <v>907</v>
      </c>
      <c r="R13" s="165">
        <f t="shared" si="3"/>
        <v>30000</v>
      </c>
      <c r="S13" s="164"/>
      <c r="T13" s="379">
        <v>19000</v>
      </c>
      <c r="U13" s="379">
        <v>12000</v>
      </c>
      <c r="V13" s="53">
        <v>18000</v>
      </c>
      <c r="W13" s="53">
        <f t="shared" si="4"/>
        <v>30000</v>
      </c>
      <c r="X13" s="191">
        <f t="shared" si="5"/>
        <v>49000</v>
      </c>
      <c r="Y13" s="380"/>
    </row>
    <row r="14" spans="1:26" ht="31.5">
      <c r="A14" s="161">
        <f t="shared" si="2"/>
        <v>576</v>
      </c>
      <c r="B14" s="305" t="s">
        <v>908</v>
      </c>
      <c r="C14" s="162"/>
      <c r="D14" s="162">
        <v>88000</v>
      </c>
      <c r="E14" s="162">
        <v>279912</v>
      </c>
      <c r="F14" s="162">
        <v>115000</v>
      </c>
      <c r="G14" s="162">
        <v>115000</v>
      </c>
      <c r="H14" s="163"/>
      <c r="I14" s="162"/>
      <c r="J14" s="162">
        <v>120000</v>
      </c>
      <c r="K14" s="162">
        <f t="shared" si="6"/>
        <v>120000</v>
      </c>
      <c r="L14" s="181">
        <f t="shared" si="0"/>
        <v>514912</v>
      </c>
      <c r="M14" s="164"/>
      <c r="N14" s="165"/>
      <c r="O14" s="165">
        <v>120000</v>
      </c>
      <c r="P14" s="165">
        <f t="shared" si="1"/>
        <v>120000</v>
      </c>
      <c r="Q14" s="170" t="s">
        <v>909</v>
      </c>
      <c r="R14" s="165">
        <f t="shared" si="3"/>
        <v>120000</v>
      </c>
      <c r="S14" s="164"/>
      <c r="T14" s="379">
        <v>130000</v>
      </c>
      <c r="U14" s="379"/>
      <c r="V14" s="53">
        <v>130000</v>
      </c>
      <c r="W14" s="53">
        <f t="shared" si="4"/>
        <v>130000</v>
      </c>
      <c r="X14" s="191">
        <f t="shared" si="5"/>
        <v>260000</v>
      </c>
      <c r="Y14" s="380"/>
    </row>
    <row r="15" spans="1:26">
      <c r="A15" s="161">
        <f t="shared" si="2"/>
        <v>577</v>
      </c>
      <c r="B15" s="305" t="s">
        <v>910</v>
      </c>
      <c r="C15" s="162"/>
      <c r="D15" s="162">
        <v>45000</v>
      </c>
      <c r="E15" s="162"/>
      <c r="F15" s="162">
        <v>15000</v>
      </c>
      <c r="G15" s="162">
        <v>0</v>
      </c>
      <c r="H15" s="163"/>
      <c r="I15" s="162"/>
      <c r="J15" s="162">
        <v>0</v>
      </c>
      <c r="K15" s="162">
        <f t="shared" si="6"/>
        <v>0</v>
      </c>
      <c r="L15" s="181">
        <f t="shared" si="0"/>
        <v>0</v>
      </c>
      <c r="M15" s="164"/>
      <c r="N15" s="165"/>
      <c r="O15" s="165">
        <v>0</v>
      </c>
      <c r="P15" s="165">
        <f t="shared" si="1"/>
        <v>0</v>
      </c>
      <c r="Q15" s="170"/>
      <c r="R15" s="165">
        <f t="shared" si="3"/>
        <v>0</v>
      </c>
      <c r="S15" s="164"/>
      <c r="T15" s="379">
        <v>0</v>
      </c>
      <c r="U15" s="379"/>
      <c r="V15" s="53">
        <v>0</v>
      </c>
      <c r="W15" s="53">
        <f t="shared" si="4"/>
        <v>0</v>
      </c>
      <c r="X15" s="191">
        <f t="shared" si="5"/>
        <v>0</v>
      </c>
      <c r="Y15" s="380"/>
    </row>
    <row r="16" spans="1:26">
      <c r="A16" s="161">
        <f t="shared" si="2"/>
        <v>578</v>
      </c>
      <c r="B16" s="305" t="s">
        <v>911</v>
      </c>
      <c r="C16" s="162"/>
      <c r="D16" s="162">
        <v>20000</v>
      </c>
      <c r="E16" s="162"/>
      <c r="F16" s="162">
        <v>5000</v>
      </c>
      <c r="G16" s="162">
        <v>0</v>
      </c>
      <c r="H16" s="163"/>
      <c r="I16" s="162"/>
      <c r="J16" s="162">
        <v>5000</v>
      </c>
      <c r="K16" s="162">
        <f t="shared" si="6"/>
        <v>5000</v>
      </c>
      <c r="L16" s="181">
        <f t="shared" si="0"/>
        <v>5000</v>
      </c>
      <c r="M16" s="164"/>
      <c r="N16" s="165"/>
      <c r="O16" s="165">
        <v>5000</v>
      </c>
      <c r="P16" s="165">
        <f t="shared" si="1"/>
        <v>5000</v>
      </c>
      <c r="Q16" s="593" t="s">
        <v>912</v>
      </c>
      <c r="R16" s="165">
        <f t="shared" si="3"/>
        <v>5000</v>
      </c>
      <c r="S16" s="164"/>
      <c r="T16" s="379">
        <v>5000</v>
      </c>
      <c r="U16" s="379"/>
      <c r="V16" s="53">
        <v>5000</v>
      </c>
      <c r="W16" s="53">
        <f t="shared" si="4"/>
        <v>5000</v>
      </c>
      <c r="X16" s="191">
        <f t="shared" si="5"/>
        <v>10000</v>
      </c>
      <c r="Y16" s="380"/>
    </row>
    <row r="17" spans="1:25" ht="31.5">
      <c r="A17" s="161">
        <f t="shared" si="2"/>
        <v>579</v>
      </c>
      <c r="B17" s="305" t="s">
        <v>913</v>
      </c>
      <c r="C17" s="162"/>
      <c r="D17" s="162">
        <v>12000</v>
      </c>
      <c r="E17" s="162"/>
      <c r="F17" s="162">
        <v>5000</v>
      </c>
      <c r="G17" s="162">
        <v>4000</v>
      </c>
      <c r="H17" s="163"/>
      <c r="I17" s="162"/>
      <c r="J17" s="162">
        <v>5000</v>
      </c>
      <c r="K17" s="162">
        <f t="shared" si="6"/>
        <v>5000</v>
      </c>
      <c r="L17" s="181">
        <f t="shared" si="0"/>
        <v>9000</v>
      </c>
      <c r="M17" s="164"/>
      <c r="N17" s="165"/>
      <c r="O17" s="165">
        <v>5000</v>
      </c>
      <c r="P17" s="165">
        <f t="shared" si="1"/>
        <v>5000</v>
      </c>
      <c r="Q17" s="170" t="s">
        <v>914</v>
      </c>
      <c r="R17" s="165">
        <f t="shared" si="3"/>
        <v>5000</v>
      </c>
      <c r="S17" s="164"/>
      <c r="T17" s="379">
        <v>6000</v>
      </c>
      <c r="U17" s="379"/>
      <c r="V17" s="53">
        <v>6000</v>
      </c>
      <c r="W17" s="53">
        <f t="shared" si="4"/>
        <v>6000</v>
      </c>
      <c r="X17" s="191">
        <f t="shared" si="5"/>
        <v>12000</v>
      </c>
      <c r="Y17" s="380"/>
    </row>
    <row r="18" spans="1:25">
      <c r="A18" s="161">
        <f t="shared" si="2"/>
        <v>580</v>
      </c>
      <c r="B18" s="305" t="s">
        <v>915</v>
      </c>
      <c r="C18" s="162"/>
      <c r="D18" s="162">
        <v>30000</v>
      </c>
      <c r="E18" s="162"/>
      <c r="F18" s="162">
        <v>10000</v>
      </c>
      <c r="G18" s="162">
        <v>6000</v>
      </c>
      <c r="H18" s="163"/>
      <c r="I18" s="162">
        <v>2000</v>
      </c>
      <c r="J18" s="162">
        <v>8000</v>
      </c>
      <c r="K18" s="162">
        <f t="shared" si="6"/>
        <v>8000</v>
      </c>
      <c r="L18" s="181">
        <f t="shared" si="0"/>
        <v>14000</v>
      </c>
      <c r="M18" s="164"/>
      <c r="N18" s="165">
        <v>2000</v>
      </c>
      <c r="O18" s="165">
        <v>8000</v>
      </c>
      <c r="P18" s="165">
        <f t="shared" si="1"/>
        <v>10000</v>
      </c>
      <c r="Q18" s="170"/>
      <c r="R18" s="165">
        <f t="shared" si="3"/>
        <v>10000</v>
      </c>
      <c r="S18" s="164"/>
      <c r="T18" s="379">
        <v>10000</v>
      </c>
      <c r="U18" s="379">
        <v>2000</v>
      </c>
      <c r="V18" s="53">
        <v>10000</v>
      </c>
      <c r="W18" s="53">
        <f t="shared" si="4"/>
        <v>12000</v>
      </c>
      <c r="X18" s="191">
        <f t="shared" si="5"/>
        <v>22000</v>
      </c>
      <c r="Y18" s="380"/>
    </row>
    <row r="19" spans="1:25">
      <c r="A19" s="161">
        <f t="shared" si="2"/>
        <v>581</v>
      </c>
      <c r="B19" s="305" t="s">
        <v>916</v>
      </c>
      <c r="C19" s="162"/>
      <c r="D19" s="162">
        <v>31500</v>
      </c>
      <c r="E19" s="162"/>
      <c r="F19" s="162">
        <v>10000</v>
      </c>
      <c r="G19" s="162">
        <v>5000</v>
      </c>
      <c r="H19" s="163"/>
      <c r="I19" s="162"/>
      <c r="J19" s="162">
        <v>8000</v>
      </c>
      <c r="K19" s="162">
        <f t="shared" si="6"/>
        <v>8000</v>
      </c>
      <c r="L19" s="181">
        <f t="shared" si="0"/>
        <v>13000</v>
      </c>
      <c r="M19" s="164"/>
      <c r="N19" s="165"/>
      <c r="O19" s="165">
        <v>8000</v>
      </c>
      <c r="P19" s="165">
        <f t="shared" si="1"/>
        <v>8000</v>
      </c>
      <c r="Q19" s="170" t="s">
        <v>917</v>
      </c>
      <c r="R19" s="165">
        <f t="shared" si="3"/>
        <v>8000</v>
      </c>
      <c r="S19" s="164"/>
      <c r="T19" s="379">
        <v>8000</v>
      </c>
      <c r="U19" s="379"/>
      <c r="V19" s="53">
        <v>8000</v>
      </c>
      <c r="W19" s="53">
        <f t="shared" si="4"/>
        <v>8000</v>
      </c>
      <c r="X19" s="191">
        <f t="shared" si="5"/>
        <v>16000</v>
      </c>
      <c r="Y19" s="380"/>
    </row>
    <row r="20" spans="1:25" ht="53.65" customHeight="1">
      <c r="A20" s="161">
        <f t="shared" si="2"/>
        <v>582</v>
      </c>
      <c r="B20" s="362" t="s">
        <v>918</v>
      </c>
      <c r="C20" s="162">
        <f>'[4]Salary Summary GC Adopted'!Y13</f>
        <v>3719695.3992224783</v>
      </c>
      <c r="D20" s="162">
        <v>3430645.9805986295</v>
      </c>
      <c r="E20" s="162">
        <v>489645</v>
      </c>
      <c r="F20" s="162">
        <f>'[3]Salary Summary 19 for 2019-2021'!L15</f>
        <v>931636.42</v>
      </c>
      <c r="G20" s="162">
        <v>931636.42</v>
      </c>
      <c r="H20" s="163"/>
      <c r="I20" s="162"/>
      <c r="J20" s="162">
        <f>'[3]Salary Summary 20 for 2019-2021'!P15+50000</f>
        <v>905916.64951740007</v>
      </c>
      <c r="K20" s="162">
        <f t="shared" si="6"/>
        <v>905916.64951740007</v>
      </c>
      <c r="L20" s="181">
        <f t="shared" si="0"/>
        <v>2327198.0695174001</v>
      </c>
      <c r="M20" s="164"/>
      <c r="N20" s="165"/>
      <c r="O20" s="165">
        <f>'Salary Summary 21 for 2022-2024'!M16+25000</f>
        <v>939163.96481252159</v>
      </c>
      <c r="P20" s="165">
        <f t="shared" si="1"/>
        <v>939163.96481252159</v>
      </c>
      <c r="Q20" s="170"/>
      <c r="R20" s="165">
        <f t="shared" si="3"/>
        <v>939163.96481252159</v>
      </c>
      <c r="S20" s="164"/>
      <c r="T20" s="379">
        <f>'Salary Summary 21 for 2022-2024'!Q16+25000</f>
        <v>965549.85729292291</v>
      </c>
      <c r="U20" s="379"/>
      <c r="V20" s="53">
        <f>'Salary Summary 21 for 2022-2024'!U16+25000</f>
        <v>995338.25393975689</v>
      </c>
      <c r="W20" s="53">
        <f t="shared" si="4"/>
        <v>995338.25393975689</v>
      </c>
      <c r="X20" s="191">
        <f t="shared" si="5"/>
        <v>1960888.1112326798</v>
      </c>
      <c r="Y20" s="380"/>
    </row>
    <row r="21" spans="1:25">
      <c r="A21" s="161">
        <f t="shared" si="2"/>
        <v>583</v>
      </c>
      <c r="B21" s="362" t="s">
        <v>919</v>
      </c>
      <c r="C21" s="162">
        <v>-900000</v>
      </c>
      <c r="D21" s="162">
        <v>-500000</v>
      </c>
      <c r="E21" s="162"/>
      <c r="F21" s="162"/>
      <c r="G21" s="162"/>
      <c r="H21" s="163"/>
      <c r="I21" s="162"/>
      <c r="J21" s="162"/>
      <c r="K21" s="162"/>
      <c r="L21" s="162"/>
      <c r="M21" s="164"/>
      <c r="N21" s="165"/>
      <c r="O21" s="165"/>
      <c r="P21" s="165">
        <f t="shared" si="1"/>
        <v>0</v>
      </c>
      <c r="Q21" s="170"/>
      <c r="R21" s="165">
        <f t="shared" si="3"/>
        <v>0</v>
      </c>
      <c r="S21" s="164"/>
      <c r="T21" s="379"/>
      <c r="U21" s="379"/>
      <c r="V21" s="53"/>
      <c r="W21" s="53">
        <f t="shared" si="4"/>
        <v>0</v>
      </c>
      <c r="X21" s="191">
        <f t="shared" si="5"/>
        <v>0</v>
      </c>
      <c r="Y21" s="380"/>
    </row>
    <row r="22" spans="1:25">
      <c r="A22" s="161" t="s">
        <v>154</v>
      </c>
      <c r="B22" s="362" t="s">
        <v>876</v>
      </c>
      <c r="C22" s="162"/>
      <c r="D22" s="162"/>
      <c r="E22" s="162"/>
      <c r="F22" s="162"/>
      <c r="G22" s="162"/>
      <c r="H22" s="163"/>
      <c r="I22" s="162"/>
      <c r="J22" s="162"/>
      <c r="K22" s="162">
        <f>I23</f>
        <v>26000</v>
      </c>
      <c r="L22" s="162">
        <f>E22+G22+K22</f>
        <v>26000</v>
      </c>
      <c r="M22" s="164"/>
      <c r="N22" s="165"/>
      <c r="O22" s="165"/>
      <c r="P22" s="165">
        <f t="shared" si="1"/>
        <v>0</v>
      </c>
      <c r="Q22" s="170"/>
      <c r="R22" s="165">
        <f t="shared" si="3"/>
        <v>0</v>
      </c>
      <c r="S22" s="164"/>
      <c r="T22" s="379"/>
      <c r="U22" s="379"/>
      <c r="V22" s="53"/>
      <c r="W22" s="53">
        <f t="shared" si="4"/>
        <v>0</v>
      </c>
      <c r="X22" s="191">
        <f t="shared" si="5"/>
        <v>0</v>
      </c>
      <c r="Y22" s="380"/>
    </row>
    <row r="23" spans="1:25" s="369" customFormat="1">
      <c r="A23" s="172">
        <f>A21+1</f>
        <v>584</v>
      </c>
      <c r="B23" s="571" t="s">
        <v>920</v>
      </c>
      <c r="C23" s="576">
        <f>SUM(C7:C21)</f>
        <v>4182288.2312224787</v>
      </c>
      <c r="D23" s="576">
        <f t="shared" ref="D23" si="7">SUM(D7:D21)</f>
        <v>4496945.9805986295</v>
      </c>
      <c r="E23" s="576">
        <f>SUM(E7:E21)</f>
        <v>930044</v>
      </c>
      <c r="F23" s="576">
        <f t="shared" ref="F23:H23" si="8">SUM(F7:F21)</f>
        <v>1485136.42</v>
      </c>
      <c r="G23" s="576">
        <f t="shared" si="8"/>
        <v>1284636.42</v>
      </c>
      <c r="H23" s="576">
        <f t="shared" si="8"/>
        <v>0</v>
      </c>
      <c r="I23" s="576">
        <f>SUM(I7:I21)</f>
        <v>26000</v>
      </c>
      <c r="J23" s="576">
        <f t="shared" ref="J23" si="9">SUM(J7:J21)</f>
        <v>1435916.6495174002</v>
      </c>
      <c r="K23" s="576">
        <f>SUM(K7:K21)</f>
        <v>1435916.6495174002</v>
      </c>
      <c r="L23" s="576">
        <f>SUM(L7:L21)</f>
        <v>3650597.0695174001</v>
      </c>
      <c r="M23" s="579"/>
      <c r="N23" s="577">
        <f>SUM(N7:N21)</f>
        <v>26000</v>
      </c>
      <c r="O23" s="577">
        <f t="shared" ref="O23:P23" si="10">SUM(O7:O21)</f>
        <v>1469163.9648125216</v>
      </c>
      <c r="P23" s="577">
        <f t="shared" si="10"/>
        <v>1495163.9648125216</v>
      </c>
      <c r="Q23" s="594"/>
      <c r="R23" s="577">
        <f t="shared" si="3"/>
        <v>1495163.9648125216</v>
      </c>
      <c r="S23" s="579"/>
      <c r="T23" s="580">
        <f t="shared" ref="T23:Y23" si="11">SUM(T7:T21)</f>
        <v>1520549.8572929229</v>
      </c>
      <c r="U23" s="580">
        <f t="shared" si="11"/>
        <v>26000</v>
      </c>
      <c r="V23" s="580">
        <f t="shared" si="11"/>
        <v>1549338.2539397569</v>
      </c>
      <c r="W23" s="580">
        <f t="shared" si="11"/>
        <v>1575338.2539397569</v>
      </c>
      <c r="X23" s="580">
        <f t="shared" si="11"/>
        <v>3095888.1112326798</v>
      </c>
      <c r="Y23" s="595">
        <f t="shared" si="11"/>
        <v>0</v>
      </c>
    </row>
    <row r="24" spans="1:25">
      <c r="A24" s="161">
        <f t="shared" si="2"/>
        <v>585</v>
      </c>
      <c r="N24" s="377"/>
      <c r="O24" s="377"/>
      <c r="P24" s="377">
        <f t="shared" si="1"/>
        <v>0</v>
      </c>
      <c r="Q24" s="592"/>
      <c r="R24" s="377">
        <f t="shared" si="3"/>
        <v>0</v>
      </c>
      <c r="T24" s="379"/>
      <c r="U24" s="379"/>
      <c r="V24" s="379"/>
      <c r="W24" s="379"/>
      <c r="X24" s="379"/>
      <c r="Y24" s="380"/>
    </row>
    <row r="25" spans="1:25">
      <c r="A25" s="161">
        <f t="shared" si="2"/>
        <v>586</v>
      </c>
      <c r="B25" s="369" t="s">
        <v>921</v>
      </c>
      <c r="N25" s="377"/>
      <c r="O25" s="377"/>
      <c r="P25" s="377">
        <f t="shared" si="1"/>
        <v>0</v>
      </c>
      <c r="Q25" s="592"/>
      <c r="R25" s="377">
        <f t="shared" si="3"/>
        <v>0</v>
      </c>
      <c r="T25" s="379"/>
      <c r="U25" s="379"/>
      <c r="V25" s="379"/>
      <c r="W25" s="379"/>
      <c r="X25" s="379"/>
      <c r="Y25" s="380"/>
    </row>
    <row r="26" spans="1:25">
      <c r="A26" s="161">
        <f t="shared" si="2"/>
        <v>587</v>
      </c>
      <c r="B26" s="369" t="s">
        <v>922</v>
      </c>
      <c r="N26" s="377"/>
      <c r="O26" s="377"/>
      <c r="P26" s="377">
        <f t="shared" si="1"/>
        <v>0</v>
      </c>
      <c r="Q26" s="592"/>
      <c r="R26" s="377">
        <f t="shared" si="3"/>
        <v>0</v>
      </c>
      <c r="T26" s="379"/>
      <c r="U26" s="379"/>
      <c r="V26" s="379"/>
      <c r="W26" s="53">
        <f t="shared" ref="W26:W32" si="12">U26+V26</f>
        <v>0</v>
      </c>
      <c r="X26" s="191">
        <f t="shared" ref="X26:X32" si="13">T26+W26</f>
        <v>0</v>
      </c>
      <c r="Y26" s="380"/>
    </row>
    <row r="27" spans="1:25" ht="31.5">
      <c r="A27" s="161">
        <f t="shared" si="2"/>
        <v>588</v>
      </c>
      <c r="B27" s="362" t="s">
        <v>428</v>
      </c>
      <c r="D27" s="69">
        <v>6181.8</v>
      </c>
      <c r="E27" s="181">
        <v>1272</v>
      </c>
      <c r="F27" s="181" t="e">
        <f>#REF!*1.03</f>
        <v>#REF!</v>
      </c>
      <c r="G27" s="181">
        <v>1000</v>
      </c>
      <c r="H27" s="182" t="s">
        <v>168</v>
      </c>
      <c r="I27" s="181">
        <v>2000</v>
      </c>
      <c r="J27" s="181">
        <v>1000</v>
      </c>
      <c r="K27" s="181">
        <f>J27</f>
        <v>1000</v>
      </c>
      <c r="L27" s="181">
        <f t="shared" ref="L27:L31" si="14">E27+G27+K27</f>
        <v>3272</v>
      </c>
      <c r="M27" s="183"/>
      <c r="N27" s="184">
        <v>4000</v>
      </c>
      <c r="O27" s="184">
        <v>1000</v>
      </c>
      <c r="P27" s="184">
        <f t="shared" si="1"/>
        <v>5000</v>
      </c>
      <c r="Q27" s="592"/>
      <c r="R27" s="184">
        <f t="shared" si="3"/>
        <v>5000</v>
      </c>
      <c r="S27" s="183"/>
      <c r="T27" s="596">
        <v>1200</v>
      </c>
      <c r="U27" s="379">
        <v>4000</v>
      </c>
      <c r="V27" s="53">
        <v>1200</v>
      </c>
      <c r="W27" s="53">
        <f t="shared" si="12"/>
        <v>5200</v>
      </c>
      <c r="X27" s="191">
        <f t="shared" si="13"/>
        <v>6400</v>
      </c>
      <c r="Y27" s="380"/>
    </row>
    <row r="28" spans="1:25" ht="32.25" customHeight="1">
      <c r="A28" s="161">
        <f t="shared" si="2"/>
        <v>589</v>
      </c>
      <c r="B28" s="362" t="s">
        <v>923</v>
      </c>
      <c r="D28" s="69">
        <v>525000</v>
      </c>
      <c r="E28" s="181">
        <v>156370</v>
      </c>
      <c r="F28" s="181">
        <v>185000</v>
      </c>
      <c r="G28" s="181">
        <v>185000</v>
      </c>
      <c r="H28" s="182"/>
      <c r="I28" s="181"/>
      <c r="J28" s="181">
        <v>190000</v>
      </c>
      <c r="K28" s="181">
        <f t="shared" ref="K28:K31" si="15">J28</f>
        <v>190000</v>
      </c>
      <c r="L28" s="181">
        <f t="shared" si="14"/>
        <v>531370</v>
      </c>
      <c r="M28" s="183"/>
      <c r="N28" s="184"/>
      <c r="O28" s="184">
        <v>210000</v>
      </c>
      <c r="P28" s="184">
        <f t="shared" si="1"/>
        <v>210000</v>
      </c>
      <c r="Q28" s="592" t="s">
        <v>924</v>
      </c>
      <c r="R28" s="184">
        <f t="shared" si="3"/>
        <v>210000</v>
      </c>
      <c r="S28" s="183"/>
      <c r="T28" s="596">
        <v>220000</v>
      </c>
      <c r="U28" s="379"/>
      <c r="V28" s="53">
        <v>220000</v>
      </c>
      <c r="W28" s="53">
        <f t="shared" si="12"/>
        <v>220000</v>
      </c>
      <c r="X28" s="191">
        <f t="shared" si="13"/>
        <v>440000</v>
      </c>
      <c r="Y28" s="380"/>
    </row>
    <row r="29" spans="1:25">
      <c r="A29" s="161">
        <f t="shared" si="2"/>
        <v>590</v>
      </c>
      <c r="B29" s="362" t="s">
        <v>925</v>
      </c>
      <c r="D29" s="69">
        <v>170000</v>
      </c>
      <c r="E29" s="181">
        <v>40496</v>
      </c>
      <c r="F29" s="181">
        <v>57000</v>
      </c>
      <c r="G29" s="181">
        <v>57000</v>
      </c>
      <c r="H29" s="182"/>
      <c r="I29" s="181"/>
      <c r="J29" s="181">
        <v>58000</v>
      </c>
      <c r="K29" s="181">
        <f t="shared" si="15"/>
        <v>58000</v>
      </c>
      <c r="L29" s="181">
        <f t="shared" si="14"/>
        <v>155496</v>
      </c>
      <c r="M29" s="183"/>
      <c r="N29" s="184"/>
      <c r="O29" s="184">
        <v>60000</v>
      </c>
      <c r="P29" s="184">
        <f t="shared" si="1"/>
        <v>60000</v>
      </c>
      <c r="Q29" s="592"/>
      <c r="R29" s="184">
        <f t="shared" si="3"/>
        <v>60000</v>
      </c>
      <c r="S29" s="183"/>
      <c r="T29" s="596">
        <v>65000</v>
      </c>
      <c r="U29" s="379"/>
      <c r="V29" s="53">
        <v>65000</v>
      </c>
      <c r="W29" s="53">
        <f t="shared" si="12"/>
        <v>65000</v>
      </c>
      <c r="X29" s="191">
        <f t="shared" si="13"/>
        <v>130000</v>
      </c>
      <c r="Y29" s="380"/>
    </row>
    <row r="30" spans="1:25">
      <c r="A30" s="161">
        <f t="shared" si="2"/>
        <v>591</v>
      </c>
      <c r="B30" s="362" t="s">
        <v>529</v>
      </c>
      <c r="D30" s="69">
        <v>75000</v>
      </c>
      <c r="E30" s="181">
        <v>12911</v>
      </c>
      <c r="F30" s="181">
        <v>25000</v>
      </c>
      <c r="G30" s="181">
        <v>25000</v>
      </c>
      <c r="H30" s="182"/>
      <c r="I30" s="181"/>
      <c r="J30" s="181">
        <v>25000</v>
      </c>
      <c r="K30" s="181">
        <f t="shared" si="15"/>
        <v>25000</v>
      </c>
      <c r="L30" s="181">
        <f t="shared" si="14"/>
        <v>62911</v>
      </c>
      <c r="M30" s="183"/>
      <c r="N30" s="184"/>
      <c r="O30" s="184">
        <v>25000</v>
      </c>
      <c r="P30" s="184">
        <f t="shared" si="1"/>
        <v>25000</v>
      </c>
      <c r="Q30" s="592"/>
      <c r="R30" s="184">
        <f t="shared" si="3"/>
        <v>25000</v>
      </c>
      <c r="S30" s="183"/>
      <c r="T30" s="596">
        <v>25000</v>
      </c>
      <c r="U30" s="379"/>
      <c r="V30" s="53">
        <v>25000</v>
      </c>
      <c r="W30" s="53">
        <f t="shared" si="12"/>
        <v>25000</v>
      </c>
      <c r="X30" s="191">
        <f t="shared" si="13"/>
        <v>50000</v>
      </c>
      <c r="Y30" s="380"/>
    </row>
    <row r="31" spans="1:25">
      <c r="A31" s="161">
        <f t="shared" si="2"/>
        <v>592</v>
      </c>
      <c r="B31" s="362" t="s">
        <v>926</v>
      </c>
      <c r="D31" s="69">
        <v>70000</v>
      </c>
      <c r="E31" s="181">
        <v>33555</v>
      </c>
      <c r="F31" s="181">
        <v>23000</v>
      </c>
      <c r="G31" s="181">
        <v>23000</v>
      </c>
      <c r="H31" s="182"/>
      <c r="I31" s="181"/>
      <c r="J31" s="181">
        <v>22000</v>
      </c>
      <c r="K31" s="181">
        <f t="shared" si="15"/>
        <v>22000</v>
      </c>
      <c r="L31" s="181">
        <f t="shared" si="14"/>
        <v>78555</v>
      </c>
      <c r="M31" s="183"/>
      <c r="N31" s="184"/>
      <c r="O31" s="184">
        <v>22000</v>
      </c>
      <c r="P31" s="184">
        <f t="shared" si="1"/>
        <v>22000</v>
      </c>
      <c r="Q31" s="592"/>
      <c r="R31" s="184">
        <f t="shared" si="3"/>
        <v>22000</v>
      </c>
      <c r="S31" s="183"/>
      <c r="T31" s="596">
        <v>23000</v>
      </c>
      <c r="U31" s="379"/>
      <c r="V31" s="53">
        <v>23000</v>
      </c>
      <c r="W31" s="53">
        <f t="shared" si="12"/>
        <v>23000</v>
      </c>
      <c r="X31" s="191">
        <f t="shared" si="13"/>
        <v>46000</v>
      </c>
      <c r="Y31" s="380"/>
    </row>
    <row r="32" spans="1:25">
      <c r="A32" s="161" t="s">
        <v>178</v>
      </c>
      <c r="B32" s="362" t="s">
        <v>876</v>
      </c>
      <c r="E32" s="181"/>
      <c r="F32" s="181"/>
      <c r="G32" s="181"/>
      <c r="H32" s="182"/>
      <c r="I32" s="181"/>
      <c r="J32" s="181"/>
      <c r="K32" s="181">
        <f>I33</f>
        <v>2000</v>
      </c>
      <c r="L32" s="181">
        <f>E32+G32+K32</f>
        <v>2000</v>
      </c>
      <c r="M32" s="183"/>
      <c r="N32" s="184"/>
      <c r="O32" s="184"/>
      <c r="P32" s="184">
        <f t="shared" si="1"/>
        <v>0</v>
      </c>
      <c r="Q32" s="592"/>
      <c r="R32" s="184">
        <f t="shared" si="3"/>
        <v>0</v>
      </c>
      <c r="S32" s="183"/>
      <c r="T32" s="379"/>
      <c r="U32" s="379"/>
      <c r="V32" s="53"/>
      <c r="W32" s="53">
        <f t="shared" si="12"/>
        <v>0</v>
      </c>
      <c r="X32" s="191">
        <f t="shared" si="13"/>
        <v>0</v>
      </c>
      <c r="Y32" s="380"/>
    </row>
    <row r="33" spans="1:25" s="598" customFormat="1">
      <c r="A33" s="597">
        <f>A31+1</f>
        <v>593</v>
      </c>
      <c r="B33" s="598" t="s">
        <v>927</v>
      </c>
      <c r="C33" s="599">
        <v>760000</v>
      </c>
      <c r="D33" s="600">
        <f t="shared" ref="D33:G33" si="16">SUM(D27:D31)</f>
        <v>846181.8</v>
      </c>
      <c r="E33" s="600">
        <f t="shared" si="16"/>
        <v>244604</v>
      </c>
      <c r="F33" s="600" t="e">
        <f t="shared" si="16"/>
        <v>#REF!</v>
      </c>
      <c r="G33" s="600">
        <f t="shared" si="16"/>
        <v>291000</v>
      </c>
      <c r="H33" s="601"/>
      <c r="I33" s="600">
        <f t="shared" ref="I33:J33" si="17">SUM(I27:I31)</f>
        <v>2000</v>
      </c>
      <c r="J33" s="600">
        <f t="shared" si="17"/>
        <v>296000</v>
      </c>
      <c r="K33" s="600">
        <f>SUM(K27:K32)</f>
        <v>298000</v>
      </c>
      <c r="L33" s="600">
        <f>SUM(L27:L32)</f>
        <v>833604</v>
      </c>
      <c r="M33" s="602"/>
      <c r="N33" s="603">
        <f t="shared" ref="N33:P33" si="18">SUM(N27:N31)</f>
        <v>4000</v>
      </c>
      <c r="O33" s="603">
        <f t="shared" si="18"/>
        <v>318000</v>
      </c>
      <c r="P33" s="603">
        <f t="shared" si="18"/>
        <v>322000</v>
      </c>
      <c r="Q33" s="604"/>
      <c r="R33" s="603">
        <f t="shared" si="3"/>
        <v>322000</v>
      </c>
      <c r="S33" s="602"/>
      <c r="T33" s="605">
        <f t="shared" ref="T33:Y33" si="19">SUM(T27:T31)</f>
        <v>334200</v>
      </c>
      <c r="U33" s="605">
        <f t="shared" si="19"/>
        <v>4000</v>
      </c>
      <c r="V33" s="605">
        <f t="shared" si="19"/>
        <v>334200</v>
      </c>
      <c r="W33" s="605">
        <f t="shared" si="19"/>
        <v>338200</v>
      </c>
      <c r="X33" s="605">
        <f t="shared" si="19"/>
        <v>672400</v>
      </c>
      <c r="Y33" s="606">
        <f t="shared" si="19"/>
        <v>0</v>
      </c>
    </row>
    <row r="34" spans="1:25">
      <c r="A34" s="161">
        <f t="shared" si="2"/>
        <v>594</v>
      </c>
      <c r="E34" s="181"/>
      <c r="F34" s="181"/>
      <c r="G34" s="181"/>
      <c r="H34" s="182"/>
      <c r="I34" s="181"/>
      <c r="J34" s="181"/>
      <c r="K34" s="181"/>
      <c r="L34" s="181"/>
      <c r="M34" s="183"/>
      <c r="N34" s="184"/>
      <c r="O34" s="184"/>
      <c r="P34" s="184">
        <f t="shared" si="1"/>
        <v>0</v>
      </c>
      <c r="Q34" s="592"/>
      <c r="R34" s="184">
        <f t="shared" si="3"/>
        <v>0</v>
      </c>
      <c r="S34" s="183"/>
      <c r="T34" s="379"/>
      <c r="U34" s="379"/>
      <c r="V34" s="379"/>
      <c r="W34" s="379"/>
      <c r="X34" s="379"/>
      <c r="Y34" s="380"/>
    </row>
    <row r="35" spans="1:25">
      <c r="A35" s="161">
        <f t="shared" si="2"/>
        <v>595</v>
      </c>
      <c r="B35" s="369" t="s">
        <v>928</v>
      </c>
      <c r="N35" s="377"/>
      <c r="O35" s="377"/>
      <c r="P35" s="377">
        <f t="shared" si="1"/>
        <v>0</v>
      </c>
      <c r="Q35" s="592"/>
      <c r="R35" s="377">
        <f t="shared" si="3"/>
        <v>0</v>
      </c>
      <c r="T35" s="379"/>
      <c r="U35" s="379"/>
      <c r="V35" s="379"/>
      <c r="W35" s="53">
        <f t="shared" ref="W35:W44" si="20">U35+V35</f>
        <v>0</v>
      </c>
      <c r="X35" s="191">
        <f t="shared" ref="X35:X44" si="21">T35+W35</f>
        <v>0</v>
      </c>
      <c r="Y35" s="380"/>
    </row>
    <row r="36" spans="1:25" ht="31.5">
      <c r="A36" s="161">
        <f t="shared" si="2"/>
        <v>596</v>
      </c>
      <c r="B36" s="362" t="s">
        <v>428</v>
      </c>
      <c r="D36" s="69">
        <v>67000</v>
      </c>
      <c r="E36" s="181">
        <v>10048</v>
      </c>
      <c r="F36" s="181">
        <v>20000</v>
      </c>
      <c r="G36" s="181">
        <v>10000</v>
      </c>
      <c r="H36" s="182" t="s">
        <v>168</v>
      </c>
      <c r="I36" s="181">
        <v>12000</v>
      </c>
      <c r="J36" s="181">
        <v>15000</v>
      </c>
      <c r="K36" s="181">
        <f>J36</f>
        <v>15000</v>
      </c>
      <c r="L36" s="181">
        <f t="shared" ref="L36:L43" si="22">E36+G36+K36</f>
        <v>35048</v>
      </c>
      <c r="M36" s="183"/>
      <c r="N36" s="184">
        <v>12000</v>
      </c>
      <c r="O36" s="184">
        <v>4000</v>
      </c>
      <c r="P36" s="184">
        <f t="shared" si="1"/>
        <v>16000</v>
      </c>
      <c r="Q36" s="592"/>
      <c r="R36" s="184">
        <f t="shared" si="3"/>
        <v>16000</v>
      </c>
      <c r="S36" s="183"/>
      <c r="T36" s="379">
        <v>6000</v>
      </c>
      <c r="U36" s="379">
        <v>14000</v>
      </c>
      <c r="V36" s="53">
        <v>6000</v>
      </c>
      <c r="W36" s="53">
        <f t="shared" si="20"/>
        <v>20000</v>
      </c>
      <c r="X36" s="191">
        <f>T36+W36</f>
        <v>26000</v>
      </c>
      <c r="Y36" s="380"/>
    </row>
    <row r="37" spans="1:25" ht="31.5">
      <c r="A37" s="161">
        <f t="shared" si="2"/>
        <v>597</v>
      </c>
      <c r="B37" s="362" t="s">
        <v>929</v>
      </c>
      <c r="D37" s="69">
        <v>930000</v>
      </c>
      <c r="E37" s="181">
        <f>319845+38167</f>
        <v>358012</v>
      </c>
      <c r="F37" s="181" t="e">
        <f>#REF!</f>
        <v>#REF!</v>
      </c>
      <c r="G37" s="181">
        <v>350000</v>
      </c>
      <c r="H37" s="182"/>
      <c r="I37" s="181"/>
      <c r="J37" s="181">
        <v>350000</v>
      </c>
      <c r="K37" s="181">
        <f t="shared" ref="K37:K43" si="23">J37</f>
        <v>350000</v>
      </c>
      <c r="L37" s="181">
        <f t="shared" si="22"/>
        <v>1058012</v>
      </c>
      <c r="M37" s="183"/>
      <c r="N37" s="184"/>
      <c r="O37" s="184">
        <v>360000</v>
      </c>
      <c r="P37" s="184">
        <f t="shared" si="1"/>
        <v>360000</v>
      </c>
      <c r="Q37" s="592" t="s">
        <v>930</v>
      </c>
      <c r="R37" s="184">
        <f t="shared" si="3"/>
        <v>360000</v>
      </c>
      <c r="S37" s="183"/>
      <c r="T37" s="379">
        <v>370000</v>
      </c>
      <c r="U37" s="379"/>
      <c r="V37" s="53">
        <v>380000</v>
      </c>
      <c r="W37" s="53">
        <f t="shared" si="20"/>
        <v>380000</v>
      </c>
      <c r="X37" s="191">
        <f t="shared" si="21"/>
        <v>750000</v>
      </c>
      <c r="Y37" s="380"/>
    </row>
    <row r="38" spans="1:25" ht="31.5">
      <c r="A38" s="161">
        <f t="shared" si="2"/>
        <v>598</v>
      </c>
      <c r="B38" s="362" t="s">
        <v>931</v>
      </c>
      <c r="D38" s="69">
        <v>123000</v>
      </c>
      <c r="E38" s="181"/>
      <c r="F38" s="181">
        <v>80000</v>
      </c>
      <c r="G38" s="181">
        <v>80000</v>
      </c>
      <c r="H38" s="182"/>
      <c r="I38" s="181"/>
      <c r="J38" s="181">
        <v>90000</v>
      </c>
      <c r="K38" s="181">
        <f t="shared" si="23"/>
        <v>90000</v>
      </c>
      <c r="L38" s="181">
        <f t="shared" si="22"/>
        <v>170000</v>
      </c>
      <c r="M38" s="183"/>
      <c r="N38" s="184"/>
      <c r="O38" s="184">
        <v>120000</v>
      </c>
      <c r="P38" s="184">
        <f t="shared" si="1"/>
        <v>120000</v>
      </c>
      <c r="Q38" s="592" t="s">
        <v>932</v>
      </c>
      <c r="R38" s="184">
        <f t="shared" si="3"/>
        <v>120000</v>
      </c>
      <c r="S38" s="183"/>
      <c r="T38" s="379">
        <v>120000</v>
      </c>
      <c r="U38" s="379"/>
      <c r="V38" s="53">
        <v>120000</v>
      </c>
      <c r="W38" s="53">
        <f t="shared" si="20"/>
        <v>120000</v>
      </c>
      <c r="X38" s="191">
        <f t="shared" si="21"/>
        <v>240000</v>
      </c>
      <c r="Y38" s="380"/>
    </row>
    <row r="39" spans="1:25">
      <c r="A39" s="161" t="s">
        <v>933</v>
      </c>
      <c r="B39" s="362" t="s">
        <v>934</v>
      </c>
      <c r="D39" s="69">
        <v>27000</v>
      </c>
      <c r="E39" s="181">
        <v>161</v>
      </c>
      <c r="F39" s="181">
        <v>9000</v>
      </c>
      <c r="G39" s="181">
        <v>9000</v>
      </c>
      <c r="H39" s="182"/>
      <c r="I39" s="181"/>
      <c r="J39" s="181">
        <v>10000</v>
      </c>
      <c r="K39" s="181">
        <f t="shared" si="23"/>
        <v>10000</v>
      </c>
      <c r="L39" s="181">
        <f t="shared" si="22"/>
        <v>19161</v>
      </c>
      <c r="M39" s="183"/>
      <c r="N39" s="184"/>
      <c r="O39" s="184">
        <v>10000</v>
      </c>
      <c r="P39" s="184">
        <f t="shared" si="1"/>
        <v>10000</v>
      </c>
      <c r="Q39" s="592"/>
      <c r="R39" s="184">
        <f t="shared" si="3"/>
        <v>10000</v>
      </c>
      <c r="S39" s="183"/>
      <c r="T39" s="379">
        <v>11000</v>
      </c>
      <c r="U39" s="379"/>
      <c r="V39" s="53">
        <v>10000</v>
      </c>
      <c r="W39" s="53">
        <f t="shared" si="20"/>
        <v>10000</v>
      </c>
      <c r="X39" s="191">
        <f t="shared" si="21"/>
        <v>21000</v>
      </c>
      <c r="Y39" s="380"/>
    </row>
    <row r="40" spans="1:25">
      <c r="A40" s="161" t="s">
        <v>935</v>
      </c>
      <c r="B40" s="362" t="s">
        <v>529</v>
      </c>
      <c r="D40" s="69">
        <v>0</v>
      </c>
      <c r="E40" s="181">
        <v>46583</v>
      </c>
      <c r="F40" s="181" t="e">
        <f>#REF!</f>
        <v>#REF!</v>
      </c>
      <c r="G40" s="181">
        <v>10000</v>
      </c>
      <c r="H40" s="182" t="s">
        <v>936</v>
      </c>
      <c r="I40" s="181"/>
      <c r="J40" s="181">
        <v>15000</v>
      </c>
      <c r="K40" s="181">
        <f t="shared" si="23"/>
        <v>15000</v>
      </c>
      <c r="L40" s="181">
        <f t="shared" si="22"/>
        <v>71583</v>
      </c>
      <c r="M40" s="183"/>
      <c r="N40" s="184"/>
      <c r="O40" s="184">
        <v>15000</v>
      </c>
      <c r="P40" s="184">
        <f t="shared" si="1"/>
        <v>15000</v>
      </c>
      <c r="Q40" s="592" t="s">
        <v>937</v>
      </c>
      <c r="R40" s="184">
        <f t="shared" si="3"/>
        <v>15000</v>
      </c>
      <c r="S40" s="183"/>
      <c r="T40" s="379">
        <v>15000</v>
      </c>
      <c r="U40" s="379"/>
      <c r="V40" s="53">
        <v>15000</v>
      </c>
      <c r="W40" s="53">
        <f t="shared" si="20"/>
        <v>15000</v>
      </c>
      <c r="X40" s="191">
        <f t="shared" si="21"/>
        <v>30000</v>
      </c>
      <c r="Y40" s="380"/>
    </row>
    <row r="41" spans="1:25">
      <c r="A41" s="161">
        <v>600</v>
      </c>
      <c r="B41" s="362" t="s">
        <v>938</v>
      </c>
      <c r="D41" s="69">
        <v>20000</v>
      </c>
      <c r="E41" s="181">
        <v>4838</v>
      </c>
      <c r="F41" s="181">
        <v>7500</v>
      </c>
      <c r="G41" s="181">
        <v>7500</v>
      </c>
      <c r="H41" s="182"/>
      <c r="I41" s="181"/>
      <c r="J41" s="181">
        <v>7500</v>
      </c>
      <c r="K41" s="181">
        <f t="shared" si="23"/>
        <v>7500</v>
      </c>
      <c r="L41" s="181">
        <f t="shared" si="22"/>
        <v>19838</v>
      </c>
      <c r="M41" s="183"/>
      <c r="N41" s="184"/>
      <c r="O41" s="184">
        <v>8000</v>
      </c>
      <c r="P41" s="184">
        <f t="shared" si="1"/>
        <v>8000</v>
      </c>
      <c r="Q41" s="592"/>
      <c r="R41" s="184">
        <f t="shared" si="3"/>
        <v>8000</v>
      </c>
      <c r="S41" s="183"/>
      <c r="T41" s="379">
        <v>8000</v>
      </c>
      <c r="U41" s="379"/>
      <c r="V41" s="53">
        <v>8000</v>
      </c>
      <c r="W41" s="53">
        <f t="shared" si="20"/>
        <v>8000</v>
      </c>
      <c r="X41" s="191">
        <f t="shared" si="21"/>
        <v>16000</v>
      </c>
      <c r="Y41" s="380"/>
    </row>
    <row r="42" spans="1:25">
      <c r="A42" s="161">
        <f t="shared" si="2"/>
        <v>601</v>
      </c>
      <c r="B42" s="362" t="s">
        <v>939</v>
      </c>
      <c r="D42" s="69">
        <v>30000</v>
      </c>
      <c r="E42" s="181">
        <f>494503-499565</f>
        <v>-5062</v>
      </c>
      <c r="F42" s="181">
        <v>11000</v>
      </c>
      <c r="G42" s="181">
        <v>11000</v>
      </c>
      <c r="H42" s="182"/>
      <c r="I42" s="181"/>
      <c r="J42" s="181">
        <v>10000</v>
      </c>
      <c r="K42" s="181">
        <f t="shared" si="23"/>
        <v>10000</v>
      </c>
      <c r="L42" s="181">
        <f t="shared" si="22"/>
        <v>15938</v>
      </c>
      <c r="M42" s="183"/>
      <c r="N42" s="184"/>
      <c r="O42" s="184">
        <v>10000</v>
      </c>
      <c r="P42" s="184">
        <f t="shared" si="1"/>
        <v>10000</v>
      </c>
      <c r="Q42" s="592"/>
      <c r="R42" s="184">
        <f t="shared" si="3"/>
        <v>10000</v>
      </c>
      <c r="S42" s="183"/>
      <c r="T42" s="379">
        <v>10000</v>
      </c>
      <c r="U42" s="379"/>
      <c r="V42" s="53">
        <v>10000</v>
      </c>
      <c r="W42" s="53">
        <f t="shared" si="20"/>
        <v>10000</v>
      </c>
      <c r="X42" s="191">
        <f t="shared" si="21"/>
        <v>20000</v>
      </c>
      <c r="Y42" s="380"/>
    </row>
    <row r="43" spans="1:25">
      <c r="A43" s="161">
        <f t="shared" si="2"/>
        <v>602</v>
      </c>
      <c r="B43" s="362" t="s">
        <v>940</v>
      </c>
      <c r="D43" s="69">
        <v>120000</v>
      </c>
      <c r="E43" s="181">
        <f>77392+2531</f>
        <v>79923</v>
      </c>
      <c r="F43" s="181" t="e">
        <f>#REF!</f>
        <v>#REF!</v>
      </c>
      <c r="G43" s="181">
        <v>65000</v>
      </c>
      <c r="H43" s="182"/>
      <c r="I43" s="181"/>
      <c r="J43" s="181">
        <v>65000</v>
      </c>
      <c r="K43" s="181">
        <f t="shared" si="23"/>
        <v>65000</v>
      </c>
      <c r="L43" s="181">
        <f t="shared" si="22"/>
        <v>209923</v>
      </c>
      <c r="M43" s="183"/>
      <c r="N43" s="184"/>
      <c r="O43" s="184">
        <v>78000</v>
      </c>
      <c r="P43" s="184">
        <f t="shared" si="1"/>
        <v>78000</v>
      </c>
      <c r="Q43" s="592" t="s">
        <v>941</v>
      </c>
      <c r="R43" s="184">
        <f t="shared" si="3"/>
        <v>78000</v>
      </c>
      <c r="S43" s="183"/>
      <c r="T43" s="379">
        <v>71000</v>
      </c>
      <c r="U43" s="379">
        <v>71000</v>
      </c>
      <c r="V43" s="379">
        <v>71000</v>
      </c>
      <c r="W43" s="379">
        <v>71000</v>
      </c>
      <c r="X43" s="191">
        <f t="shared" si="21"/>
        <v>142000</v>
      </c>
      <c r="Y43" s="380" t="s">
        <v>941</v>
      </c>
    </row>
    <row r="44" spans="1:25">
      <c r="A44" s="161" t="s">
        <v>415</v>
      </c>
      <c r="B44" s="362" t="s">
        <v>876</v>
      </c>
      <c r="E44" s="181"/>
      <c r="F44" s="181"/>
      <c r="G44" s="181"/>
      <c r="H44" s="182"/>
      <c r="I44" s="181"/>
      <c r="J44" s="181"/>
      <c r="K44" s="181">
        <f>I45</f>
        <v>12000</v>
      </c>
      <c r="L44" s="181">
        <f>E44+G44+K44</f>
        <v>12000</v>
      </c>
      <c r="M44" s="183"/>
      <c r="N44" s="184"/>
      <c r="O44" s="184"/>
      <c r="P44" s="184">
        <f t="shared" si="1"/>
        <v>0</v>
      </c>
      <c r="Q44" s="592"/>
      <c r="R44" s="184">
        <f t="shared" si="3"/>
        <v>0</v>
      </c>
      <c r="S44" s="183"/>
      <c r="T44" s="379"/>
      <c r="U44" s="379"/>
      <c r="V44" s="53"/>
      <c r="W44" s="53">
        <f t="shared" si="20"/>
        <v>0</v>
      </c>
      <c r="X44" s="191">
        <f t="shared" si="21"/>
        <v>0</v>
      </c>
      <c r="Y44" s="380"/>
    </row>
    <row r="45" spans="1:25" s="598" customFormat="1" ht="31.5">
      <c r="A45" s="597">
        <f>A43+1</f>
        <v>603</v>
      </c>
      <c r="B45" s="598" t="s">
        <v>942</v>
      </c>
      <c r="C45" s="599">
        <v>1172000</v>
      </c>
      <c r="D45" s="600">
        <f t="shared" ref="D45:J45" si="24">SUM(D36:D43)</f>
        <v>1317000</v>
      </c>
      <c r="E45" s="600">
        <f t="shared" si="24"/>
        <v>494503</v>
      </c>
      <c r="F45" s="600" t="e">
        <f t="shared" si="24"/>
        <v>#REF!</v>
      </c>
      <c r="G45" s="600">
        <f t="shared" si="24"/>
        <v>542500</v>
      </c>
      <c r="H45" s="600">
        <f t="shared" si="24"/>
        <v>0</v>
      </c>
      <c r="I45" s="600">
        <f t="shared" si="24"/>
        <v>12000</v>
      </c>
      <c r="J45" s="600">
        <f t="shared" si="24"/>
        <v>562500</v>
      </c>
      <c r="K45" s="600">
        <f>SUM(K36:K44)</f>
        <v>574500</v>
      </c>
      <c r="L45" s="600">
        <f>SUM(L36:L44)</f>
        <v>1611503</v>
      </c>
      <c r="M45" s="602"/>
      <c r="N45" s="603">
        <f t="shared" ref="N45:P45" si="25">SUM(N36:N43)</f>
        <v>12000</v>
      </c>
      <c r="O45" s="603">
        <f t="shared" si="25"/>
        <v>605000</v>
      </c>
      <c r="P45" s="603">
        <f t="shared" si="25"/>
        <v>617000</v>
      </c>
      <c r="Q45" s="604" t="s">
        <v>943</v>
      </c>
      <c r="R45" s="603">
        <f t="shared" si="3"/>
        <v>617000</v>
      </c>
      <c r="S45" s="602"/>
      <c r="T45" s="605">
        <f t="shared" ref="T45:Y45" si="26">SUM(T36:T43)</f>
        <v>611000</v>
      </c>
      <c r="U45" s="605">
        <f t="shared" si="26"/>
        <v>85000</v>
      </c>
      <c r="V45" s="605">
        <f t="shared" si="26"/>
        <v>620000</v>
      </c>
      <c r="W45" s="605">
        <f t="shared" si="26"/>
        <v>634000</v>
      </c>
      <c r="X45" s="605">
        <f t="shared" si="26"/>
        <v>1245000</v>
      </c>
      <c r="Y45" s="606">
        <f t="shared" si="26"/>
        <v>0</v>
      </c>
    </row>
    <row r="46" spans="1:25">
      <c r="A46" s="161">
        <f t="shared" si="2"/>
        <v>604</v>
      </c>
      <c r="D46" s="69">
        <v>0</v>
      </c>
      <c r="E46" s="181"/>
      <c r="F46" s="181"/>
      <c r="G46" s="181"/>
      <c r="H46" s="182"/>
      <c r="I46" s="181"/>
      <c r="J46" s="181"/>
      <c r="K46" s="181"/>
      <c r="L46" s="181"/>
      <c r="M46" s="183"/>
      <c r="N46" s="184"/>
      <c r="O46" s="184"/>
      <c r="P46" s="184">
        <f t="shared" si="1"/>
        <v>0</v>
      </c>
      <c r="Q46" s="592"/>
      <c r="R46" s="184">
        <f t="shared" si="3"/>
        <v>0</v>
      </c>
      <c r="S46" s="183"/>
      <c r="T46" s="379"/>
      <c r="U46" s="379"/>
      <c r="V46" s="379"/>
      <c r="W46" s="379"/>
      <c r="X46" s="379"/>
      <c r="Y46" s="380"/>
    </row>
    <row r="47" spans="1:25" ht="52.5" customHeight="1">
      <c r="A47" s="161">
        <f t="shared" si="2"/>
        <v>605</v>
      </c>
      <c r="B47" s="362" t="s">
        <v>944</v>
      </c>
      <c r="C47" s="69">
        <v>7005000</v>
      </c>
      <c r="D47" s="69">
        <v>5725462.5480000004</v>
      </c>
      <c r="E47" s="162">
        <f>1450000+763885</f>
        <v>2213885</v>
      </c>
      <c r="F47" s="162">
        <f>'[4]Rent Debt'!O38</f>
        <v>2192381.1159999999</v>
      </c>
      <c r="G47" s="162">
        <v>2192381.1159999999</v>
      </c>
      <c r="H47" s="163"/>
      <c r="I47" s="162"/>
      <c r="J47" s="162">
        <v>2200000</v>
      </c>
      <c r="K47" s="162">
        <f>J47</f>
        <v>2200000</v>
      </c>
      <c r="L47" s="162">
        <f>E47+G47+K47</f>
        <v>6606266.1160000004</v>
      </c>
      <c r="M47" s="164"/>
      <c r="N47" s="165"/>
      <c r="O47" s="165">
        <v>1882000</v>
      </c>
      <c r="P47" s="165">
        <f t="shared" si="1"/>
        <v>1882000</v>
      </c>
      <c r="Q47" s="592" t="s">
        <v>945</v>
      </c>
      <c r="R47" s="165">
        <f t="shared" si="3"/>
        <v>1882000</v>
      </c>
      <c r="S47" s="164"/>
      <c r="T47" s="379">
        <v>1857000</v>
      </c>
      <c r="U47" s="379"/>
      <c r="V47" s="53">
        <v>1833000</v>
      </c>
      <c r="W47" s="53">
        <f t="shared" ref="W47:W52" si="27">U47+V47</f>
        <v>1833000</v>
      </c>
      <c r="X47" s="191">
        <f t="shared" ref="X47:X52" si="28">T47+W47</f>
        <v>3690000</v>
      </c>
      <c r="Y47" s="380"/>
    </row>
    <row r="48" spans="1:25">
      <c r="A48" s="161">
        <f t="shared" si="2"/>
        <v>606</v>
      </c>
      <c r="B48" s="362" t="s">
        <v>946</v>
      </c>
      <c r="C48" s="69">
        <f>'[4]Salary Summary GC Adopted'!Y12</f>
        <v>3031034.7743127919</v>
      </c>
      <c r="D48" s="69">
        <v>2976054.3163891141</v>
      </c>
      <c r="E48" s="69">
        <v>877630</v>
      </c>
      <c r="F48" s="69">
        <f>'[3]Salary Summary 19 for 2019-2021'!L13</f>
        <v>983653.32868384407</v>
      </c>
      <c r="G48" s="69">
        <v>913653.32868384407</v>
      </c>
      <c r="H48" s="211" t="s">
        <v>947</v>
      </c>
      <c r="J48" s="69">
        <f>'[3]Salary Summary 20 for 2019-2021'!P13</f>
        <v>1030788.0710999926</v>
      </c>
      <c r="K48" s="162">
        <f t="shared" ref="K48:K50" si="29">J48</f>
        <v>1030788.0710999926</v>
      </c>
      <c r="L48" s="162">
        <f>E48+G48+K48</f>
        <v>2822071.3997838367</v>
      </c>
      <c r="M48" s="164"/>
      <c r="N48" s="377"/>
      <c r="O48" s="165">
        <f>'Salary Summary 21 for 2022-2024'!M14</f>
        <v>1065582.776997911</v>
      </c>
      <c r="P48" s="165">
        <f t="shared" si="1"/>
        <v>1065582.776997911</v>
      </c>
      <c r="Q48" s="592"/>
      <c r="R48" s="165">
        <f t="shared" si="3"/>
        <v>1065582.776997911</v>
      </c>
      <c r="S48" s="164"/>
      <c r="T48" s="379">
        <f>'Salary Summary 21 for 2022-2024'!Q14</f>
        <v>1098461.6803990018</v>
      </c>
      <c r="U48" s="379"/>
      <c r="V48" s="53">
        <f>'Salary Summary 21 for 2022-2024'!U14</f>
        <v>1134378.9230452438</v>
      </c>
      <c r="W48" s="53">
        <f t="shared" si="27"/>
        <v>1134378.9230452438</v>
      </c>
      <c r="X48" s="191">
        <f t="shared" si="28"/>
        <v>2232840.6034442456</v>
      </c>
      <c r="Y48" s="380"/>
    </row>
    <row r="49" spans="1:25" ht="53.65" customHeight="1">
      <c r="A49" s="161">
        <f t="shared" si="2"/>
        <v>607</v>
      </c>
      <c r="B49" s="362" t="s">
        <v>948</v>
      </c>
      <c r="C49" s="69">
        <f>'[4]Salary Summary GC Adopted'!Y33</f>
        <v>3381318.8398741502</v>
      </c>
      <c r="D49" s="362">
        <v>4258875.1843536226</v>
      </c>
      <c r="E49" s="362">
        <v>1137903</v>
      </c>
      <c r="F49" s="362">
        <f>'[3]Salary Summary 19 for 2019-2021'!L39</f>
        <v>1300044.3315785052</v>
      </c>
      <c r="G49" s="69">
        <v>1300044.3315785052</v>
      </c>
      <c r="H49" s="305"/>
      <c r="I49" s="362"/>
      <c r="J49" s="362">
        <f>'[3]Salary Summary 20 for 2019-2021'!P39</f>
        <v>1338626.4568656427</v>
      </c>
      <c r="K49" s="162">
        <f t="shared" si="29"/>
        <v>1338626.4568656427</v>
      </c>
      <c r="L49" s="162">
        <f>E49+G49+K49</f>
        <v>3776573.7884441479</v>
      </c>
      <c r="M49" s="164"/>
      <c r="N49" s="574"/>
      <c r="O49" s="165">
        <f>'Salary Summary 21 for 2022-2024'!M40</f>
        <v>1389721.0564475746</v>
      </c>
      <c r="P49" s="165">
        <f t="shared" si="1"/>
        <v>1389721.0564475746</v>
      </c>
      <c r="Q49" s="592"/>
      <c r="R49" s="165">
        <f t="shared" si="3"/>
        <v>1389721.0564475746</v>
      </c>
      <c r="S49" s="164"/>
      <c r="T49" s="379">
        <f>'Salary Summary 21 for 2022-2024'!Q40</f>
        <v>1432139.054470778</v>
      </c>
      <c r="U49" s="379"/>
      <c r="V49" s="53">
        <f>'Salary Summary 21 for 2022-2024'!U40</f>
        <v>1477518.3544952064</v>
      </c>
      <c r="W49" s="53">
        <f t="shared" si="27"/>
        <v>1477518.3544952064</v>
      </c>
      <c r="X49" s="191">
        <f t="shared" si="28"/>
        <v>2909657.4089659844</v>
      </c>
      <c r="Y49" s="380"/>
    </row>
    <row r="50" spans="1:25" s="618" customFormat="1">
      <c r="A50" s="607">
        <f t="shared" si="2"/>
        <v>608</v>
      </c>
      <c r="B50" s="608" t="s">
        <v>949</v>
      </c>
      <c r="C50" s="609">
        <v>-293000</v>
      </c>
      <c r="D50" s="609">
        <v>-300000</v>
      </c>
      <c r="E50" s="610">
        <v>-103000</v>
      </c>
      <c r="F50" s="610">
        <f>-'[4]Dividends 2017-2021 5%'!O14</f>
        <v>-108000</v>
      </c>
      <c r="G50" s="609">
        <v>-108000</v>
      </c>
      <c r="H50" s="611"/>
      <c r="I50" s="610"/>
      <c r="J50" s="610">
        <v>-111000</v>
      </c>
      <c r="K50" s="610">
        <f t="shared" si="29"/>
        <v>-111000</v>
      </c>
      <c r="L50" s="610">
        <f>E50+G50+K50</f>
        <v>-322000</v>
      </c>
      <c r="M50" s="612"/>
      <c r="N50" s="613"/>
      <c r="O50" s="613">
        <f>-'[3]Staff Details 2022-2024'!T173</f>
        <v>-34608</v>
      </c>
      <c r="P50" s="613">
        <f t="shared" si="1"/>
        <v>-34608</v>
      </c>
      <c r="Q50" s="613" t="s">
        <v>950</v>
      </c>
      <c r="R50" s="613">
        <f t="shared" si="3"/>
        <v>-34608</v>
      </c>
      <c r="S50" s="612"/>
      <c r="T50" s="614">
        <f>-'[3]Staff Details 2022-2024'!AF173</f>
        <v>-35749.359479999999</v>
      </c>
      <c r="U50" s="615"/>
      <c r="V50" s="614">
        <f>-'[3]Staff Details 2022-2024'!AR173</f>
        <v>-36715.627199999995</v>
      </c>
      <c r="W50" s="459">
        <f t="shared" si="27"/>
        <v>-36715.627199999995</v>
      </c>
      <c r="X50" s="616">
        <f t="shared" si="28"/>
        <v>-72464.986680000002</v>
      </c>
      <c r="Y50" s="617"/>
    </row>
    <row r="51" spans="1:25">
      <c r="A51" s="161">
        <f t="shared" si="2"/>
        <v>609</v>
      </c>
      <c r="B51" s="305" t="s">
        <v>951</v>
      </c>
      <c r="C51" s="69">
        <f>SUM(C47:C50)</f>
        <v>13124353.614186943</v>
      </c>
      <c r="D51" s="69">
        <v>12660392.048742738</v>
      </c>
      <c r="E51" s="69">
        <f>SUM(E47:E50)</f>
        <v>4126418</v>
      </c>
      <c r="F51" s="69">
        <f t="shared" ref="F51:I51" si="30">SUM(F47:F50)</f>
        <v>4368078.7762623494</v>
      </c>
      <c r="G51" s="69">
        <f>SUM(G47:G50)</f>
        <v>4298078.7762623494</v>
      </c>
      <c r="I51" s="69">
        <f t="shared" si="30"/>
        <v>0</v>
      </c>
      <c r="J51" s="69">
        <f>SUM(J47:J50)</f>
        <v>4458414.5279656351</v>
      </c>
      <c r="K51" s="69">
        <f t="shared" ref="K51" si="31">SUM(K47:K50)</f>
        <v>4458414.5279656351</v>
      </c>
      <c r="L51" s="69">
        <f>E51+G51+K51</f>
        <v>12882911.304227985</v>
      </c>
      <c r="N51" s="377">
        <f t="shared" ref="N51" si="32">SUM(N47:N50)</f>
        <v>0</v>
      </c>
      <c r="O51" s="377">
        <f t="shared" ref="O51" si="33">SUM(O47:O50)</f>
        <v>4302695.8334454857</v>
      </c>
      <c r="P51" s="377">
        <f t="shared" si="1"/>
        <v>4302695.8334454857</v>
      </c>
      <c r="Q51" s="592"/>
      <c r="R51" s="377">
        <f t="shared" si="3"/>
        <v>4302695.8334454857</v>
      </c>
      <c r="T51" s="191">
        <f t="shared" ref="T51:Y51" si="34">SUM(T47:T50)</f>
        <v>4351851.3753897799</v>
      </c>
      <c r="U51" s="191">
        <f t="shared" si="34"/>
        <v>0</v>
      </c>
      <c r="V51" s="191">
        <f t="shared" si="34"/>
        <v>4408181.6503404509</v>
      </c>
      <c r="W51" s="53">
        <f t="shared" si="27"/>
        <v>4408181.6503404509</v>
      </c>
      <c r="X51" s="191">
        <f t="shared" si="28"/>
        <v>8760033.0257302299</v>
      </c>
      <c r="Y51" s="386">
        <f t="shared" si="34"/>
        <v>0</v>
      </c>
    </row>
    <row r="52" spans="1:25">
      <c r="A52" s="368">
        <f t="shared" si="2"/>
        <v>610</v>
      </c>
      <c r="D52" s="69">
        <v>0</v>
      </c>
      <c r="N52" s="377"/>
      <c r="O52" s="377"/>
      <c r="P52" s="377">
        <f t="shared" si="1"/>
        <v>0</v>
      </c>
      <c r="Q52" s="592"/>
      <c r="R52" s="377">
        <f t="shared" si="3"/>
        <v>0</v>
      </c>
      <c r="T52" s="379"/>
      <c r="U52" s="379"/>
      <c r="V52" s="379"/>
      <c r="W52" s="53">
        <f t="shared" si="27"/>
        <v>0</v>
      </c>
      <c r="X52" s="191">
        <f t="shared" si="28"/>
        <v>0</v>
      </c>
      <c r="Y52" s="380"/>
    </row>
    <row r="53" spans="1:25" s="369" customFormat="1">
      <c r="A53" s="172">
        <f t="shared" si="2"/>
        <v>611</v>
      </c>
      <c r="B53" s="571" t="s">
        <v>952</v>
      </c>
      <c r="C53" s="576">
        <f>C33+C45+C51</f>
        <v>15056353.614186943</v>
      </c>
      <c r="D53" s="576">
        <f t="shared" ref="D53:K53" si="35">D33+D45+D51</f>
        <v>14823573.848742738</v>
      </c>
      <c r="E53" s="576">
        <f t="shared" si="35"/>
        <v>4865525</v>
      </c>
      <c r="F53" s="576" t="e">
        <f t="shared" si="35"/>
        <v>#REF!</v>
      </c>
      <c r="G53" s="576">
        <f t="shared" si="35"/>
        <v>5131578.7762623494</v>
      </c>
      <c r="H53" s="619"/>
      <c r="I53" s="576">
        <f t="shared" si="35"/>
        <v>14000</v>
      </c>
      <c r="J53" s="576">
        <f t="shared" si="35"/>
        <v>5316914.5279656351</v>
      </c>
      <c r="K53" s="576">
        <f t="shared" si="35"/>
        <v>5330914.5279656351</v>
      </c>
      <c r="L53" s="576">
        <f>E53+G53+K53</f>
        <v>15328018.304227985</v>
      </c>
      <c r="M53" s="579"/>
      <c r="N53" s="577">
        <f t="shared" ref="N53:P53" si="36">N33+N45+N51</f>
        <v>16000</v>
      </c>
      <c r="O53" s="577">
        <f t="shared" si="36"/>
        <v>5225695.8334454857</v>
      </c>
      <c r="P53" s="577">
        <f t="shared" si="36"/>
        <v>5241695.8334454857</v>
      </c>
      <c r="Q53" s="620"/>
      <c r="R53" s="577">
        <f t="shared" si="3"/>
        <v>5241695.8334454857</v>
      </c>
      <c r="S53" s="579"/>
      <c r="T53" s="580">
        <f t="shared" ref="T53:Y53" si="37">T33+T45+T51</f>
        <v>5297051.3753897799</v>
      </c>
      <c r="U53" s="580">
        <f t="shared" si="37"/>
        <v>89000</v>
      </c>
      <c r="V53" s="580">
        <f t="shared" si="37"/>
        <v>5362381.6503404509</v>
      </c>
      <c r="W53" s="580">
        <f t="shared" si="37"/>
        <v>5380381.6503404509</v>
      </c>
      <c r="X53" s="580">
        <f t="shared" si="37"/>
        <v>10677433.02573023</v>
      </c>
      <c r="Y53" s="595">
        <f t="shared" si="37"/>
        <v>0</v>
      </c>
    </row>
    <row r="54" spans="1:25">
      <c r="A54" s="161">
        <f t="shared" si="2"/>
        <v>612</v>
      </c>
      <c r="N54" s="377"/>
      <c r="O54" s="377"/>
      <c r="P54" s="377">
        <f t="shared" si="1"/>
        <v>0</v>
      </c>
      <c r="Q54" s="592"/>
      <c r="R54" s="377">
        <f t="shared" si="3"/>
        <v>0</v>
      </c>
      <c r="T54" s="379"/>
      <c r="U54" s="379"/>
      <c r="V54" s="379"/>
      <c r="W54" s="379"/>
      <c r="X54" s="379"/>
      <c r="Y54" s="380"/>
    </row>
    <row r="55" spans="1:25">
      <c r="A55" s="161">
        <f t="shared" si="2"/>
        <v>613</v>
      </c>
      <c r="B55" s="369" t="s">
        <v>125</v>
      </c>
      <c r="N55" s="377"/>
      <c r="O55" s="377"/>
      <c r="P55" s="377">
        <f t="shared" si="1"/>
        <v>0</v>
      </c>
      <c r="Q55" s="592"/>
      <c r="R55" s="377">
        <f t="shared" si="3"/>
        <v>0</v>
      </c>
      <c r="T55" s="379"/>
      <c r="U55" s="379"/>
      <c r="V55" s="379"/>
      <c r="W55" s="379"/>
      <c r="X55" s="379"/>
      <c r="Y55" s="380"/>
    </row>
    <row r="56" spans="1:25">
      <c r="A56" s="161">
        <f t="shared" si="2"/>
        <v>614</v>
      </c>
      <c r="N56" s="377"/>
      <c r="O56" s="377"/>
      <c r="P56" s="377">
        <f t="shared" si="1"/>
        <v>0</v>
      </c>
      <c r="Q56" s="592"/>
      <c r="R56" s="377">
        <f t="shared" si="3"/>
        <v>0</v>
      </c>
      <c r="T56" s="379"/>
      <c r="U56" s="379"/>
      <c r="V56" s="379"/>
      <c r="W56" s="379"/>
      <c r="X56" s="379"/>
      <c r="Y56" s="380"/>
    </row>
    <row r="57" spans="1:25">
      <c r="A57" s="161">
        <f t="shared" si="2"/>
        <v>615</v>
      </c>
      <c r="B57" s="362" t="s">
        <v>953</v>
      </c>
      <c r="C57" s="69">
        <f>207000-7000</f>
        <v>200000</v>
      </c>
      <c r="D57" s="69">
        <v>120000</v>
      </c>
      <c r="E57" s="181">
        <v>545170</v>
      </c>
      <c r="F57" s="162">
        <v>30000</v>
      </c>
      <c r="G57" s="162">
        <v>25000</v>
      </c>
      <c r="H57" s="163"/>
      <c r="I57" s="162"/>
      <c r="J57" s="162">
        <v>30000</v>
      </c>
      <c r="K57" s="162">
        <f>J57</f>
        <v>30000</v>
      </c>
      <c r="L57" s="162">
        <f t="shared" ref="L57:L58" si="38">E57+G57+K57</f>
        <v>600170</v>
      </c>
      <c r="M57" s="164"/>
      <c r="N57" s="165"/>
      <c r="O57" s="165">
        <v>60000</v>
      </c>
      <c r="P57" s="165">
        <f t="shared" si="1"/>
        <v>60000</v>
      </c>
      <c r="Q57" s="592"/>
      <c r="R57" s="165">
        <f t="shared" si="3"/>
        <v>60000</v>
      </c>
      <c r="S57" s="164"/>
      <c r="T57" s="379">
        <v>75000</v>
      </c>
      <c r="U57" s="379"/>
      <c r="V57" s="53">
        <f t="shared" ref="V57:W66" si="39">T57+U57</f>
        <v>75000</v>
      </c>
      <c r="W57" s="53">
        <f t="shared" si="39"/>
        <v>75000</v>
      </c>
      <c r="X57" s="191">
        <f t="shared" ref="X57:X66" si="40">T57+W57</f>
        <v>150000</v>
      </c>
      <c r="Y57" s="380"/>
    </row>
    <row r="58" spans="1:25" ht="37.9" customHeight="1">
      <c r="A58" s="161">
        <f t="shared" si="2"/>
        <v>616</v>
      </c>
      <c r="B58" s="362" t="s">
        <v>954</v>
      </c>
      <c r="C58" s="69">
        <v>2500000</v>
      </c>
      <c r="D58" s="181">
        <v>750000</v>
      </c>
      <c r="E58" s="181">
        <v>444188</v>
      </c>
      <c r="F58" s="181">
        <v>200000</v>
      </c>
      <c r="G58" s="181">
        <v>150000</v>
      </c>
      <c r="H58" s="182" t="s">
        <v>955</v>
      </c>
      <c r="I58" s="181"/>
      <c r="J58" s="181">
        <v>200000</v>
      </c>
      <c r="K58" s="162">
        <f t="shared" ref="K58:K65" si="41">J58</f>
        <v>200000</v>
      </c>
      <c r="L58" s="162">
        <f t="shared" si="38"/>
        <v>794188</v>
      </c>
      <c r="M58" s="164"/>
      <c r="N58" s="184"/>
      <c r="O58" s="165">
        <v>200000</v>
      </c>
      <c r="P58" s="165">
        <f t="shared" si="1"/>
        <v>200000</v>
      </c>
      <c r="Q58" s="185" t="s">
        <v>956</v>
      </c>
      <c r="R58" s="165">
        <f t="shared" si="3"/>
        <v>200000</v>
      </c>
      <c r="S58" s="164"/>
      <c r="T58" s="379">
        <v>175000</v>
      </c>
      <c r="U58" s="379"/>
      <c r="V58" s="53">
        <v>150000</v>
      </c>
      <c r="W58" s="53">
        <f t="shared" si="39"/>
        <v>150000</v>
      </c>
      <c r="X58" s="191">
        <f t="shared" si="40"/>
        <v>325000</v>
      </c>
      <c r="Y58" s="380" t="s">
        <v>956</v>
      </c>
    </row>
    <row r="59" spans="1:25" ht="40.15" customHeight="1">
      <c r="A59" s="161">
        <f t="shared" si="2"/>
        <v>617</v>
      </c>
      <c r="B59" s="362" t="s">
        <v>957</v>
      </c>
      <c r="D59" s="181">
        <v>1100000</v>
      </c>
      <c r="E59" s="181"/>
      <c r="F59" s="181">
        <f>350000*1.03</f>
        <v>360500</v>
      </c>
      <c r="G59" s="181">
        <v>427829</v>
      </c>
      <c r="H59" s="182" t="s">
        <v>958</v>
      </c>
      <c r="I59" s="181"/>
      <c r="J59" s="181"/>
      <c r="K59" s="162">
        <f t="shared" si="41"/>
        <v>0</v>
      </c>
      <c r="L59" s="162"/>
      <c r="M59" s="164"/>
      <c r="N59" s="184"/>
      <c r="O59" s="165"/>
      <c r="P59" s="165">
        <f t="shared" si="1"/>
        <v>0</v>
      </c>
      <c r="Q59" s="185"/>
      <c r="R59" s="165">
        <f t="shared" si="3"/>
        <v>0</v>
      </c>
      <c r="S59" s="164"/>
      <c r="T59" s="379"/>
      <c r="U59" s="379"/>
      <c r="V59" s="53">
        <f t="shared" si="39"/>
        <v>0</v>
      </c>
      <c r="W59" s="53">
        <f t="shared" si="39"/>
        <v>0</v>
      </c>
      <c r="X59" s="191">
        <f t="shared" si="40"/>
        <v>0</v>
      </c>
      <c r="Y59" s="380"/>
    </row>
    <row r="60" spans="1:25" ht="33.75" customHeight="1">
      <c r="A60" s="161">
        <f t="shared" si="2"/>
        <v>618</v>
      </c>
      <c r="B60" s="362" t="s">
        <v>959</v>
      </c>
      <c r="D60" s="181">
        <v>300000</v>
      </c>
      <c r="E60" s="181"/>
      <c r="F60" s="181">
        <v>70000</v>
      </c>
      <c r="G60" s="181">
        <v>150000</v>
      </c>
      <c r="H60" s="182" t="s">
        <v>960</v>
      </c>
      <c r="I60" s="181"/>
      <c r="J60" s="181">
        <v>150000</v>
      </c>
      <c r="K60" s="162">
        <f t="shared" si="41"/>
        <v>150000</v>
      </c>
      <c r="L60" s="162">
        <f t="shared" ref="L60:L66" si="42">E60+G60+K60</f>
        <v>300000</v>
      </c>
      <c r="M60" s="164"/>
      <c r="N60" s="184"/>
      <c r="O60" s="165">
        <v>200000</v>
      </c>
      <c r="P60" s="165">
        <f t="shared" si="1"/>
        <v>200000</v>
      </c>
      <c r="Q60" s="185" t="s">
        <v>961</v>
      </c>
      <c r="R60" s="165">
        <f t="shared" si="3"/>
        <v>200000</v>
      </c>
      <c r="S60" s="164"/>
      <c r="T60" s="379">
        <v>325000</v>
      </c>
      <c r="U60" s="379"/>
      <c r="V60" s="53">
        <v>350000</v>
      </c>
      <c r="W60" s="53">
        <f t="shared" si="39"/>
        <v>350000</v>
      </c>
      <c r="X60" s="191">
        <f t="shared" si="40"/>
        <v>675000</v>
      </c>
      <c r="Y60" s="380" t="s">
        <v>962</v>
      </c>
    </row>
    <row r="61" spans="1:25" ht="24" customHeight="1">
      <c r="A61" s="161">
        <f t="shared" si="2"/>
        <v>619</v>
      </c>
      <c r="B61" s="362" t="s">
        <v>428</v>
      </c>
      <c r="D61" s="181">
        <v>30000</v>
      </c>
      <c r="E61" s="181"/>
      <c r="F61" s="181">
        <v>60000</v>
      </c>
      <c r="G61" s="181">
        <v>20000</v>
      </c>
      <c r="H61" s="182" t="s">
        <v>168</v>
      </c>
      <c r="I61" s="181">
        <f>2*12*(165+65+20)</f>
        <v>6000</v>
      </c>
      <c r="J61" s="181">
        <v>50000</v>
      </c>
      <c r="K61" s="162">
        <f t="shared" si="41"/>
        <v>50000</v>
      </c>
      <c r="L61" s="162">
        <f t="shared" si="42"/>
        <v>70000</v>
      </c>
      <c r="M61" s="164"/>
      <c r="N61" s="184">
        <f>2*12*(165+65+20)</f>
        <v>6000</v>
      </c>
      <c r="O61" s="165">
        <v>40000</v>
      </c>
      <c r="P61" s="165">
        <f t="shared" si="1"/>
        <v>46000</v>
      </c>
      <c r="Q61" s="185"/>
      <c r="R61" s="165">
        <f t="shared" si="3"/>
        <v>46000</v>
      </c>
      <c r="S61" s="164"/>
      <c r="T61" s="379">
        <v>50000</v>
      </c>
      <c r="U61" s="379">
        <v>6500</v>
      </c>
      <c r="V61" s="53">
        <v>55000</v>
      </c>
      <c r="W61" s="53">
        <f t="shared" si="39"/>
        <v>61500</v>
      </c>
      <c r="X61" s="191">
        <f t="shared" si="40"/>
        <v>111500</v>
      </c>
      <c r="Y61" s="380"/>
    </row>
    <row r="62" spans="1:25">
      <c r="A62" s="161">
        <f t="shared" si="2"/>
        <v>620</v>
      </c>
      <c r="B62" s="362" t="s">
        <v>963</v>
      </c>
      <c r="D62" s="181">
        <v>9500</v>
      </c>
      <c r="E62" s="181"/>
      <c r="F62" s="181">
        <v>3100</v>
      </c>
      <c r="G62" s="181">
        <v>3100</v>
      </c>
      <c r="H62" s="182"/>
      <c r="I62" s="181"/>
      <c r="J62" s="181">
        <v>3300</v>
      </c>
      <c r="K62" s="162">
        <f t="shared" si="41"/>
        <v>3300</v>
      </c>
      <c r="L62" s="162">
        <f t="shared" si="42"/>
        <v>6400</v>
      </c>
      <c r="M62" s="164"/>
      <c r="N62" s="184"/>
      <c r="O62" s="165">
        <v>3300</v>
      </c>
      <c r="P62" s="165">
        <f t="shared" si="1"/>
        <v>3300</v>
      </c>
      <c r="Q62" s="185"/>
      <c r="R62" s="165">
        <f t="shared" si="3"/>
        <v>3300</v>
      </c>
      <c r="S62" s="164"/>
      <c r="T62" s="379">
        <v>3450</v>
      </c>
      <c r="U62" s="379"/>
      <c r="V62" s="53">
        <v>3600</v>
      </c>
      <c r="W62" s="53">
        <f t="shared" si="39"/>
        <v>3600</v>
      </c>
      <c r="X62" s="191">
        <f t="shared" si="40"/>
        <v>7050</v>
      </c>
      <c r="Y62" s="380"/>
    </row>
    <row r="63" spans="1:25">
      <c r="A63" s="161">
        <f t="shared" si="2"/>
        <v>621</v>
      </c>
      <c r="B63" s="362" t="s">
        <v>964</v>
      </c>
      <c r="D63" s="181">
        <v>7500</v>
      </c>
      <c r="E63" s="181"/>
      <c r="F63" s="181">
        <v>2500</v>
      </c>
      <c r="G63" s="181">
        <v>2500</v>
      </c>
      <c r="H63" s="182"/>
      <c r="I63" s="181"/>
      <c r="J63" s="181">
        <v>2500</v>
      </c>
      <c r="K63" s="162">
        <f t="shared" si="41"/>
        <v>2500</v>
      </c>
      <c r="L63" s="162">
        <f t="shared" si="42"/>
        <v>5000</v>
      </c>
      <c r="M63" s="164"/>
      <c r="N63" s="184"/>
      <c r="O63" s="165">
        <v>3000</v>
      </c>
      <c r="P63" s="165">
        <f t="shared" si="1"/>
        <v>3000</v>
      </c>
      <c r="Q63" s="185"/>
      <c r="R63" s="165">
        <f t="shared" si="3"/>
        <v>3000</v>
      </c>
      <c r="S63" s="164"/>
      <c r="T63" s="379">
        <v>3150</v>
      </c>
      <c r="U63" s="379"/>
      <c r="V63" s="53">
        <v>3300</v>
      </c>
      <c r="W63" s="53">
        <f t="shared" si="39"/>
        <v>3300</v>
      </c>
      <c r="X63" s="191">
        <f t="shared" si="40"/>
        <v>6450</v>
      </c>
      <c r="Y63" s="380"/>
    </row>
    <row r="64" spans="1:25" ht="28.15" customHeight="1">
      <c r="A64" s="161" t="s">
        <v>965</v>
      </c>
      <c r="B64" s="362" t="s">
        <v>181</v>
      </c>
      <c r="C64" s="69">
        <f>'[4]Salary Summary GC Adopted'!Y27</f>
        <v>864976.61500796</v>
      </c>
      <c r="D64" s="69">
        <v>1302789.374855428</v>
      </c>
      <c r="E64" s="69">
        <v>481635</v>
      </c>
      <c r="F64" s="69">
        <f>'[3]Salary Summary 19 for 2019-2021'!L29-'[4]Staff Details Aug 19 for 19-21'!AC122</f>
        <v>506871.48387962807</v>
      </c>
      <c r="G64" s="69">
        <v>526641</v>
      </c>
      <c r="H64" s="211" t="s">
        <v>966</v>
      </c>
      <c r="J64" s="69">
        <f>'[3]Salary Summary 20 for 2019-2021'!P29+450000</f>
        <v>993116.26675601676</v>
      </c>
      <c r="K64" s="162">
        <f t="shared" si="41"/>
        <v>993116.26675601676</v>
      </c>
      <c r="L64" s="162">
        <f t="shared" si="42"/>
        <v>2001392.2667560168</v>
      </c>
      <c r="M64" s="164"/>
      <c r="N64" s="377"/>
      <c r="O64" s="165">
        <f>'Salary Summary 21 for 2022-2024'!M30</f>
        <v>1174998.8479978335</v>
      </c>
      <c r="P64" s="165">
        <f t="shared" si="1"/>
        <v>1174998.8479978335</v>
      </c>
      <c r="Q64" s="621" t="s">
        <v>967</v>
      </c>
      <c r="R64" s="165">
        <f t="shared" si="3"/>
        <v>1174998.8479978335</v>
      </c>
      <c r="S64" s="164"/>
      <c r="T64" s="379">
        <f>'Salary Summary 21 for 2022-2024'!Q30</f>
        <v>1209779.3744915591</v>
      </c>
      <c r="U64" s="379"/>
      <c r="V64" s="53">
        <f>'[6]Salary Summary 21 for 2022-2024'!T29</f>
        <v>1075232.17007417</v>
      </c>
      <c r="W64" s="53">
        <f t="shared" si="39"/>
        <v>1075232.17007417</v>
      </c>
      <c r="X64" s="191">
        <f t="shared" si="40"/>
        <v>2285011.5445657289</v>
      </c>
      <c r="Y64" s="380"/>
    </row>
    <row r="65" spans="1:25">
      <c r="A65" s="161" t="s">
        <v>968</v>
      </c>
      <c r="B65" s="305" t="s">
        <v>969</v>
      </c>
      <c r="D65" s="69">
        <v>0</v>
      </c>
      <c r="F65" s="69">
        <f>-'[4]Dividends 2017-2021 5%'!O15</f>
        <v>-33000</v>
      </c>
      <c r="G65" s="69">
        <v>-33000</v>
      </c>
      <c r="J65" s="69">
        <v>-33000</v>
      </c>
      <c r="K65" s="162">
        <f t="shared" si="41"/>
        <v>-33000</v>
      </c>
      <c r="L65" s="162">
        <f t="shared" si="42"/>
        <v>-66000</v>
      </c>
      <c r="M65" s="164"/>
      <c r="N65" s="377"/>
      <c r="O65" s="165">
        <f>-'[3]Staff Details 2022-2024'!T233</f>
        <v>-7777.739458616401</v>
      </c>
      <c r="P65" s="165">
        <f t="shared" si="1"/>
        <v>-7777.739458616401</v>
      </c>
      <c r="Q65" s="592" t="s">
        <v>970</v>
      </c>
      <c r="R65" s="165">
        <f t="shared" si="3"/>
        <v>-7777.739458616401</v>
      </c>
      <c r="S65" s="164"/>
      <c r="T65" s="379">
        <f>-'[3]Staff Details 2022-2024'!AF233</f>
        <v>-7983.521704349102</v>
      </c>
      <c r="U65" s="379"/>
      <c r="V65" s="379">
        <f>-'[3]Staff Details 2022-2024'!AR233</f>
        <v>-8228.2115120869275</v>
      </c>
      <c r="W65" s="53">
        <f t="shared" si="39"/>
        <v>-8228.2115120869275</v>
      </c>
      <c r="X65" s="191">
        <f t="shared" si="40"/>
        <v>-16211.73321643603</v>
      </c>
      <c r="Y65" s="380"/>
    </row>
    <row r="66" spans="1:25">
      <c r="A66" s="161" t="s">
        <v>185</v>
      </c>
      <c r="B66" s="608" t="s">
        <v>876</v>
      </c>
      <c r="K66" s="69">
        <f>I67</f>
        <v>6000</v>
      </c>
      <c r="L66" s="69">
        <f t="shared" si="42"/>
        <v>6000</v>
      </c>
      <c r="N66" s="377"/>
      <c r="O66" s="377"/>
      <c r="P66" s="377">
        <f t="shared" si="1"/>
        <v>0</v>
      </c>
      <c r="Q66" s="592"/>
      <c r="R66" s="377">
        <f t="shared" si="3"/>
        <v>0</v>
      </c>
      <c r="T66" s="379"/>
      <c r="U66" s="379"/>
      <c r="V66" s="379"/>
      <c r="W66" s="53">
        <f t="shared" si="39"/>
        <v>0</v>
      </c>
      <c r="X66" s="191">
        <f t="shared" si="40"/>
        <v>0</v>
      </c>
      <c r="Y66" s="380"/>
    </row>
    <row r="67" spans="1:25" s="571" customFormat="1" ht="35.25" customHeight="1">
      <c r="A67" s="172">
        <v>623</v>
      </c>
      <c r="B67" s="571" t="s">
        <v>971</v>
      </c>
      <c r="C67" s="576">
        <f>SUM(C56:C64)</f>
        <v>3564976.6150079602</v>
      </c>
      <c r="D67" s="576">
        <f t="shared" ref="D67:L67" si="43">SUM(D56:D65)</f>
        <v>3619789.374855428</v>
      </c>
      <c r="E67" s="576">
        <f>SUM(E56:E65)</f>
        <v>1470993</v>
      </c>
      <c r="F67" s="576">
        <f t="shared" ref="F67" si="44">SUM(F56:F65)</f>
        <v>1199971.4838796281</v>
      </c>
      <c r="G67" s="576">
        <f>SUM(G56:G65)</f>
        <v>1272070</v>
      </c>
      <c r="H67" s="576">
        <f t="shared" si="43"/>
        <v>0</v>
      </c>
      <c r="I67" s="576">
        <f t="shared" si="43"/>
        <v>6000</v>
      </c>
      <c r="J67" s="576">
        <f t="shared" si="43"/>
        <v>1395916.2667560168</v>
      </c>
      <c r="K67" s="576">
        <f t="shared" si="43"/>
        <v>1395916.2667560168</v>
      </c>
      <c r="L67" s="576">
        <f t="shared" si="43"/>
        <v>3711150.2667560168</v>
      </c>
      <c r="M67" s="579"/>
      <c r="N67" s="577">
        <f t="shared" ref="N67:P67" si="45">SUM(N56:N65)</f>
        <v>6000</v>
      </c>
      <c r="O67" s="577">
        <f t="shared" si="45"/>
        <v>1673521.1085392172</v>
      </c>
      <c r="P67" s="577">
        <f t="shared" si="45"/>
        <v>1679521.1085392172</v>
      </c>
      <c r="Q67" s="620" t="s">
        <v>972</v>
      </c>
      <c r="R67" s="577">
        <f t="shared" si="3"/>
        <v>1679521.1085392172</v>
      </c>
      <c r="S67" s="579"/>
      <c r="T67" s="580">
        <f t="shared" ref="T67:Y67" si="46">SUM(T56:T65)</f>
        <v>1833395.8527872099</v>
      </c>
      <c r="U67" s="580">
        <f t="shared" si="46"/>
        <v>6500</v>
      </c>
      <c r="V67" s="580">
        <f t="shared" si="46"/>
        <v>1703903.9585620831</v>
      </c>
      <c r="W67" s="580">
        <f t="shared" si="46"/>
        <v>1710403.9585620831</v>
      </c>
      <c r="X67" s="580">
        <f t="shared" si="46"/>
        <v>3543799.8113492928</v>
      </c>
      <c r="Y67" s="595">
        <f t="shared" si="46"/>
        <v>0</v>
      </c>
    </row>
    <row r="68" spans="1:25">
      <c r="A68" s="161">
        <f t="shared" si="2"/>
        <v>624</v>
      </c>
      <c r="N68" s="377"/>
      <c r="O68" s="377"/>
      <c r="P68" s="377">
        <f t="shared" si="1"/>
        <v>0</v>
      </c>
      <c r="Q68" s="592"/>
      <c r="R68" s="377">
        <f t="shared" si="3"/>
        <v>0</v>
      </c>
      <c r="T68" s="379"/>
      <c r="U68" s="379"/>
      <c r="V68" s="379"/>
      <c r="W68" s="379"/>
      <c r="X68" s="379"/>
      <c r="Y68" s="380"/>
    </row>
    <row r="69" spans="1:25">
      <c r="A69" s="161">
        <f t="shared" si="2"/>
        <v>625</v>
      </c>
      <c r="B69" s="369" t="s">
        <v>973</v>
      </c>
      <c r="D69" s="69">
        <v>0</v>
      </c>
      <c r="N69" s="377"/>
      <c r="O69" s="377"/>
      <c r="P69" s="377">
        <f t="shared" si="1"/>
        <v>0</v>
      </c>
      <c r="Q69" s="592"/>
      <c r="R69" s="377">
        <f t="shared" si="3"/>
        <v>0</v>
      </c>
      <c r="T69" s="379"/>
      <c r="U69" s="379"/>
      <c r="V69" s="379"/>
      <c r="W69" s="379"/>
      <c r="X69" s="379"/>
      <c r="Y69" s="380"/>
    </row>
    <row r="70" spans="1:25" ht="26.65" customHeight="1">
      <c r="A70" s="161" t="s">
        <v>974</v>
      </c>
      <c r="B70" s="362" t="s">
        <v>432</v>
      </c>
      <c r="C70" s="69">
        <v>125000</v>
      </c>
      <c r="D70" s="69">
        <v>360000</v>
      </c>
      <c r="E70" s="162">
        <f>16310+3047</f>
        <v>19357</v>
      </c>
      <c r="F70" s="162">
        <v>80000</v>
      </c>
      <c r="G70" s="162">
        <v>30000</v>
      </c>
      <c r="H70" s="163" t="s">
        <v>975</v>
      </c>
      <c r="I70" s="162">
        <v>6000</v>
      </c>
      <c r="J70" s="162">
        <v>50000</v>
      </c>
      <c r="K70" s="162">
        <f>J70</f>
        <v>50000</v>
      </c>
      <c r="L70" s="162">
        <f>E70+G70+K70</f>
        <v>99357</v>
      </c>
      <c r="M70" s="164"/>
      <c r="N70" s="165"/>
      <c r="O70" s="165">
        <v>51500</v>
      </c>
      <c r="P70" s="165">
        <f t="shared" si="1"/>
        <v>51500</v>
      </c>
      <c r="Q70" s="592"/>
      <c r="R70" s="165">
        <f t="shared" si="3"/>
        <v>51500</v>
      </c>
      <c r="S70" s="164"/>
      <c r="T70" s="379">
        <v>51500</v>
      </c>
      <c r="U70" s="379"/>
      <c r="V70" s="53">
        <f t="shared" ref="V70:W73" si="47">T70+U70</f>
        <v>51500</v>
      </c>
      <c r="W70" s="53">
        <f t="shared" si="47"/>
        <v>51500</v>
      </c>
      <c r="X70" s="191">
        <f t="shared" ref="X70:X73" si="48">T70+W70</f>
        <v>103000</v>
      </c>
      <c r="Y70" s="380"/>
    </row>
    <row r="71" spans="1:25">
      <c r="A71" s="161" t="s">
        <v>976</v>
      </c>
      <c r="B71" s="362" t="s">
        <v>428</v>
      </c>
      <c r="D71" s="69">
        <v>0</v>
      </c>
      <c r="E71" s="162"/>
      <c r="F71" s="162"/>
      <c r="G71" s="162">
        <v>0</v>
      </c>
      <c r="H71" s="163"/>
      <c r="I71" s="162">
        <v>7500</v>
      </c>
      <c r="J71" s="162">
        <v>7000</v>
      </c>
      <c r="K71" s="162">
        <f t="shared" ref="K71:K72" si="49">J71</f>
        <v>7000</v>
      </c>
      <c r="L71" s="162">
        <f>E71+G71+K71</f>
        <v>7000</v>
      </c>
      <c r="M71" s="164"/>
      <c r="N71" s="165">
        <v>7500</v>
      </c>
      <c r="O71" s="165">
        <v>6300</v>
      </c>
      <c r="P71" s="165">
        <f t="shared" ref="P71:P134" si="50">N71+O71</f>
        <v>13800</v>
      </c>
      <c r="Q71" s="592" t="s">
        <v>977</v>
      </c>
      <c r="R71" s="165">
        <f t="shared" si="3"/>
        <v>13800</v>
      </c>
      <c r="S71" s="164"/>
      <c r="T71" s="379">
        <v>6300</v>
      </c>
      <c r="U71" s="379"/>
      <c r="V71" s="53">
        <f t="shared" si="47"/>
        <v>6300</v>
      </c>
      <c r="W71" s="53">
        <f t="shared" si="47"/>
        <v>6300</v>
      </c>
      <c r="X71" s="191">
        <f t="shared" si="48"/>
        <v>12600</v>
      </c>
      <c r="Y71" s="380"/>
    </row>
    <row r="72" spans="1:25" ht="28.9" customHeight="1">
      <c r="A72" s="161">
        <v>627</v>
      </c>
      <c r="B72" s="362" t="s">
        <v>405</v>
      </c>
      <c r="C72" s="69">
        <f>+'[4]Salary Summary GC Adopted'!Y9</f>
        <v>2163344.8693473814</v>
      </c>
      <c r="D72" s="362">
        <v>1865220.0300766211</v>
      </c>
      <c r="E72" s="362">
        <v>540782</v>
      </c>
      <c r="F72" s="362">
        <f>'[3]Salary Summary 19 for 2019-2021'!L10</f>
        <v>547650.116588832</v>
      </c>
      <c r="G72" s="362">
        <v>547650.116588832</v>
      </c>
      <c r="H72" s="305"/>
      <c r="I72" s="362"/>
      <c r="J72" s="362">
        <f>'[3]Salary Summary 20 for 2019-2021'!P10</f>
        <v>564176.04264168791</v>
      </c>
      <c r="K72" s="162">
        <f t="shared" si="49"/>
        <v>564176.04264168791</v>
      </c>
      <c r="L72" s="162">
        <f>E72+G72+K72</f>
        <v>1652608.1592305198</v>
      </c>
      <c r="M72" s="164"/>
      <c r="N72" s="574"/>
      <c r="O72" s="165">
        <f>'Salary Summary 21 for 2022-2024'!M11</f>
        <v>582546.08968040161</v>
      </c>
      <c r="P72" s="165">
        <f t="shared" si="50"/>
        <v>582546.08968040161</v>
      </c>
      <c r="Q72" s="621"/>
      <c r="R72" s="165">
        <f t="shared" ref="R72:R135" si="51">P72</f>
        <v>582546.08968040161</v>
      </c>
      <c r="S72" s="164"/>
      <c r="T72" s="379">
        <f>'[9]Salary Summary 21 for 2022-2024'!P10</f>
        <v>604821.0993402265</v>
      </c>
      <c r="U72" s="379"/>
      <c r="V72" s="53">
        <f>'[9]Salary Summary 21 for 2022-2024'!T10</f>
        <v>623788.79661823297</v>
      </c>
      <c r="W72" s="53">
        <f t="shared" si="47"/>
        <v>623788.79661823297</v>
      </c>
      <c r="X72" s="191">
        <f t="shared" si="48"/>
        <v>1228609.8959584595</v>
      </c>
      <c r="Y72" s="380"/>
    </row>
    <row r="73" spans="1:25">
      <c r="A73" s="161" t="s">
        <v>978</v>
      </c>
      <c r="B73" s="362" t="s">
        <v>876</v>
      </c>
      <c r="D73" s="362"/>
      <c r="E73" s="362"/>
      <c r="F73" s="362"/>
      <c r="G73" s="362"/>
      <c r="H73" s="305"/>
      <c r="I73" s="362"/>
      <c r="J73" s="362"/>
      <c r="K73" s="362">
        <f>I74</f>
        <v>13500</v>
      </c>
      <c r="L73" s="162">
        <f>E73+G73+K73</f>
        <v>13500</v>
      </c>
      <c r="M73" s="164"/>
      <c r="N73" s="574"/>
      <c r="O73" s="165"/>
      <c r="P73" s="165">
        <f t="shared" si="50"/>
        <v>0</v>
      </c>
      <c r="Q73" s="621"/>
      <c r="R73" s="165">
        <f t="shared" si="51"/>
        <v>0</v>
      </c>
      <c r="S73" s="164"/>
      <c r="T73" s="379"/>
      <c r="U73" s="379">
        <v>13500</v>
      </c>
      <c r="V73" s="53"/>
      <c r="W73" s="53">
        <f t="shared" si="47"/>
        <v>13500</v>
      </c>
      <c r="X73" s="191">
        <f t="shared" si="48"/>
        <v>13500</v>
      </c>
      <c r="Y73" s="380"/>
    </row>
    <row r="74" spans="1:25" s="571" customFormat="1">
      <c r="A74" s="172">
        <f>A72+1</f>
        <v>628</v>
      </c>
      <c r="B74" s="571" t="s">
        <v>979</v>
      </c>
      <c r="C74" s="174">
        <f>SUM(C70:C72)</f>
        <v>2288344.8693473814</v>
      </c>
      <c r="D74" s="174">
        <f t="shared" ref="D74" si="52">SUM(D70:D72)</f>
        <v>2225220.0300766211</v>
      </c>
      <c r="E74" s="174">
        <f>SUM(E70:E73)</f>
        <v>560139</v>
      </c>
      <c r="F74" s="174">
        <f t="shared" ref="F74:H74" si="53">SUM(F70:F73)</f>
        <v>627650.116588832</v>
      </c>
      <c r="G74" s="174">
        <f t="shared" si="53"/>
        <v>577650.116588832</v>
      </c>
      <c r="H74" s="174">
        <f t="shared" si="53"/>
        <v>0</v>
      </c>
      <c r="I74" s="174">
        <f>SUM(I70:I73)</f>
        <v>13500</v>
      </c>
      <c r="J74" s="174">
        <f t="shared" ref="J74:K74" si="54">SUM(J70:J73)</f>
        <v>621176.04264168791</v>
      </c>
      <c r="K74" s="174">
        <f t="shared" si="54"/>
        <v>634676.04264168791</v>
      </c>
      <c r="L74" s="174">
        <f>E74+G74+K74</f>
        <v>1772465.1592305198</v>
      </c>
      <c r="M74" s="175"/>
      <c r="N74" s="176">
        <f>SUM(N70:N73)</f>
        <v>7500</v>
      </c>
      <c r="O74" s="176">
        <f t="shared" ref="O74:P74" si="55">SUM(O70:O73)</f>
        <v>640346.08968040161</v>
      </c>
      <c r="P74" s="176">
        <f t="shared" si="55"/>
        <v>647846.08968040161</v>
      </c>
      <c r="Q74" s="622"/>
      <c r="R74" s="176">
        <f t="shared" si="51"/>
        <v>647846.08968040161</v>
      </c>
      <c r="S74" s="175"/>
      <c r="T74" s="178">
        <f>SUM(T70:T73)</f>
        <v>662621.0993402265</v>
      </c>
      <c r="U74" s="178">
        <f t="shared" ref="U74:Y74" si="56">SUM(U70:U73)</f>
        <v>13500</v>
      </c>
      <c r="V74" s="178">
        <f t="shared" si="56"/>
        <v>681588.79661823297</v>
      </c>
      <c r="W74" s="178">
        <f t="shared" si="56"/>
        <v>695088.79661823297</v>
      </c>
      <c r="X74" s="178">
        <f t="shared" si="56"/>
        <v>1357709.8959584595</v>
      </c>
      <c r="Y74" s="623">
        <f t="shared" si="56"/>
        <v>0</v>
      </c>
    </row>
    <row r="75" spans="1:25">
      <c r="A75" s="161">
        <f t="shared" ref="A75:A77" si="57">A74+1</f>
        <v>629</v>
      </c>
      <c r="N75" s="377"/>
      <c r="O75" s="377"/>
      <c r="P75" s="377">
        <f t="shared" si="50"/>
        <v>0</v>
      </c>
      <c r="Q75" s="592"/>
      <c r="R75" s="377">
        <f t="shared" si="51"/>
        <v>0</v>
      </c>
      <c r="T75" s="379"/>
      <c r="U75" s="379"/>
      <c r="V75" s="379"/>
      <c r="W75" s="379"/>
      <c r="X75" s="379"/>
      <c r="Y75" s="380"/>
    </row>
    <row r="76" spans="1:25">
      <c r="A76" s="161">
        <f t="shared" si="57"/>
        <v>630</v>
      </c>
      <c r="B76" s="369" t="s">
        <v>980</v>
      </c>
      <c r="D76" s="69">
        <v>0</v>
      </c>
      <c r="N76" s="377"/>
      <c r="O76" s="377"/>
      <c r="P76" s="377">
        <f t="shared" si="50"/>
        <v>0</v>
      </c>
      <c r="Q76" s="592"/>
      <c r="R76" s="377">
        <f t="shared" si="51"/>
        <v>0</v>
      </c>
      <c r="T76" s="379"/>
      <c r="U76" s="379"/>
      <c r="V76" s="379"/>
      <c r="W76" s="379"/>
      <c r="X76" s="379"/>
      <c r="Y76" s="380"/>
    </row>
    <row r="77" spans="1:25">
      <c r="A77" s="161">
        <f t="shared" si="57"/>
        <v>631</v>
      </c>
      <c r="B77" s="362" t="s">
        <v>981</v>
      </c>
      <c r="C77" s="69">
        <v>1800000</v>
      </c>
      <c r="D77" s="69">
        <v>2032000</v>
      </c>
      <c r="E77" s="162">
        <v>516517</v>
      </c>
      <c r="F77" s="162">
        <v>620000</v>
      </c>
      <c r="G77" s="162">
        <v>620000</v>
      </c>
      <c r="H77" s="163"/>
      <c r="I77" s="162"/>
      <c r="J77" s="162">
        <v>620000</v>
      </c>
      <c r="K77" s="162">
        <f>J77</f>
        <v>620000</v>
      </c>
      <c r="L77" s="162">
        <f t="shared" ref="L77:L81" si="58">E77+G77+K77</f>
        <v>1756517</v>
      </c>
      <c r="M77" s="164"/>
      <c r="N77" s="165"/>
      <c r="O77" s="165">
        <v>620000</v>
      </c>
      <c r="P77" s="165">
        <f t="shared" si="50"/>
        <v>620000</v>
      </c>
      <c r="Q77" s="592" t="s">
        <v>982</v>
      </c>
      <c r="R77" s="165">
        <f t="shared" si="51"/>
        <v>620000</v>
      </c>
      <c r="S77" s="164"/>
      <c r="T77" s="379">
        <v>620000</v>
      </c>
      <c r="U77" s="379"/>
      <c r="V77" s="53">
        <v>620000</v>
      </c>
      <c r="W77" s="53">
        <f t="shared" ref="W77:W81" si="59">U77+V77</f>
        <v>620000</v>
      </c>
      <c r="X77" s="191">
        <f t="shared" ref="X77:X81" si="60">T77+W77</f>
        <v>1240000</v>
      </c>
      <c r="Y77" s="380"/>
    </row>
    <row r="78" spans="1:25">
      <c r="A78" s="161" t="s">
        <v>983</v>
      </c>
      <c r="B78" s="362" t="s">
        <v>428</v>
      </c>
      <c r="D78" s="69">
        <v>0</v>
      </c>
      <c r="E78" s="162"/>
      <c r="F78" s="162"/>
      <c r="G78" s="162">
        <v>0</v>
      </c>
      <c r="H78" s="163"/>
      <c r="I78" s="162">
        <v>14000</v>
      </c>
      <c r="J78" s="162">
        <v>7000</v>
      </c>
      <c r="K78" s="162">
        <f t="shared" ref="K78:K81" si="61">J78</f>
        <v>7000</v>
      </c>
      <c r="L78" s="162">
        <f t="shared" si="58"/>
        <v>7000</v>
      </c>
      <c r="M78" s="164"/>
      <c r="N78" s="165">
        <v>14000</v>
      </c>
      <c r="O78" s="165">
        <v>6300</v>
      </c>
      <c r="P78" s="165">
        <f t="shared" si="50"/>
        <v>20300</v>
      </c>
      <c r="Q78" s="592" t="s">
        <v>977</v>
      </c>
      <c r="R78" s="165">
        <f t="shared" si="51"/>
        <v>20300</v>
      </c>
      <c r="S78" s="164"/>
      <c r="T78" s="379">
        <v>2000</v>
      </c>
      <c r="U78" s="379"/>
      <c r="V78" s="53">
        <v>2000</v>
      </c>
      <c r="W78" s="53">
        <f t="shared" si="59"/>
        <v>2000</v>
      </c>
      <c r="X78" s="191">
        <f t="shared" si="60"/>
        <v>4000</v>
      </c>
      <c r="Y78" s="380"/>
    </row>
    <row r="79" spans="1:25" ht="18.95" customHeight="1">
      <c r="A79" s="161" t="s">
        <v>984</v>
      </c>
      <c r="B79" s="362" t="s">
        <v>605</v>
      </c>
      <c r="C79" s="69">
        <f>873000-50000</f>
        <v>823000</v>
      </c>
      <c r="D79" s="69">
        <v>846000</v>
      </c>
      <c r="E79" s="181">
        <v>264460</v>
      </c>
      <c r="F79" s="162">
        <v>285000</v>
      </c>
      <c r="G79" s="162">
        <v>215000</v>
      </c>
      <c r="H79" s="163" t="s">
        <v>985</v>
      </c>
      <c r="I79" s="162">
        <v>0</v>
      </c>
      <c r="J79" s="162">
        <v>277000</v>
      </c>
      <c r="K79" s="162">
        <f t="shared" si="61"/>
        <v>277000</v>
      </c>
      <c r="L79" s="162">
        <f t="shared" si="58"/>
        <v>756460</v>
      </c>
      <c r="M79" s="164"/>
      <c r="N79" s="165">
        <v>0</v>
      </c>
      <c r="O79" s="165">
        <f>280000+70000</f>
        <v>350000</v>
      </c>
      <c r="P79" s="165">
        <f t="shared" si="50"/>
        <v>350000</v>
      </c>
      <c r="Q79" s="624" t="s">
        <v>986</v>
      </c>
      <c r="R79" s="165">
        <f t="shared" si="51"/>
        <v>350000</v>
      </c>
      <c r="S79" s="164"/>
      <c r="T79" s="379">
        <v>280000</v>
      </c>
      <c r="U79" s="379"/>
      <c r="V79" s="53">
        <v>280000</v>
      </c>
      <c r="W79" s="53">
        <f t="shared" si="59"/>
        <v>280000</v>
      </c>
      <c r="X79" s="191">
        <f t="shared" si="60"/>
        <v>560000</v>
      </c>
      <c r="Y79" s="380"/>
    </row>
    <row r="80" spans="1:25">
      <c r="A80" s="161" t="s">
        <v>987</v>
      </c>
      <c r="B80" s="362" t="s">
        <v>876</v>
      </c>
      <c r="E80" s="181"/>
      <c r="F80" s="162"/>
      <c r="G80" s="162"/>
      <c r="H80" s="163"/>
      <c r="I80" s="162"/>
      <c r="J80" s="162"/>
      <c r="K80" s="162">
        <f>I82</f>
        <v>14000</v>
      </c>
      <c r="L80" s="162">
        <f t="shared" si="58"/>
        <v>14000</v>
      </c>
      <c r="M80" s="164"/>
      <c r="N80" s="165"/>
      <c r="O80" s="165"/>
      <c r="P80" s="165">
        <f t="shared" si="50"/>
        <v>0</v>
      </c>
      <c r="Q80" s="592"/>
      <c r="R80" s="165">
        <f t="shared" si="51"/>
        <v>0</v>
      </c>
      <c r="S80" s="164"/>
      <c r="T80" s="379"/>
      <c r="U80" s="379">
        <v>14000</v>
      </c>
      <c r="V80" s="53"/>
      <c r="W80" s="53">
        <f t="shared" si="59"/>
        <v>14000</v>
      </c>
      <c r="X80" s="191">
        <f t="shared" si="60"/>
        <v>14000</v>
      </c>
      <c r="Y80" s="380"/>
    </row>
    <row r="81" spans="1:25" ht="21" customHeight="1">
      <c r="A81" s="161">
        <v>633</v>
      </c>
      <c r="B81" s="362" t="s">
        <v>181</v>
      </c>
      <c r="C81" s="69">
        <f>'[4]Salary Summary GC Adopted'!Y25</f>
        <v>1313154.4757400374</v>
      </c>
      <c r="D81" s="69">
        <v>1408784.7002993794</v>
      </c>
      <c r="E81" s="69">
        <v>500311</v>
      </c>
      <c r="F81" s="69">
        <f>'[3]Salary Summary 19 for 2019-2021'!L27</f>
        <v>532793.71954798803</v>
      </c>
      <c r="G81" s="69">
        <v>532793.71954798803</v>
      </c>
      <c r="I81" s="162"/>
      <c r="J81" s="162">
        <f>'[3]Salary Summary 20 for 2019-2021'!P27</f>
        <v>546721.86633442761</v>
      </c>
      <c r="K81" s="162">
        <f t="shared" si="61"/>
        <v>546721.86633442761</v>
      </c>
      <c r="L81" s="162">
        <f t="shared" si="58"/>
        <v>1579826.5858824155</v>
      </c>
      <c r="M81" s="164"/>
      <c r="N81" s="165"/>
      <c r="O81" s="165">
        <f>'Salary Summary 21 for 2022-2024'!M28</f>
        <v>565194.38236024685</v>
      </c>
      <c r="P81" s="165">
        <f t="shared" si="50"/>
        <v>565194.38236024685</v>
      </c>
      <c r="Q81" s="170"/>
      <c r="R81" s="165">
        <f t="shared" si="51"/>
        <v>565194.38236024685</v>
      </c>
      <c r="S81" s="164"/>
      <c r="T81" s="379">
        <f>'Salary Summary 21 for 2022-2024'!Q28</f>
        <v>583674.63832380471</v>
      </c>
      <c r="U81" s="379"/>
      <c r="V81" s="53">
        <f>'Salary Summary 21 for 2022-2024'!U28</f>
        <v>602418.08647598582</v>
      </c>
      <c r="W81" s="53">
        <f t="shared" si="59"/>
        <v>602418.08647598582</v>
      </c>
      <c r="X81" s="191">
        <f t="shared" si="60"/>
        <v>1186092.7247997904</v>
      </c>
      <c r="Y81" s="380"/>
    </row>
    <row r="82" spans="1:25" s="571" customFormat="1">
      <c r="A82" s="172">
        <f t="shared" ref="A82:A143" si="62">A81+1</f>
        <v>634</v>
      </c>
      <c r="B82" s="571" t="s">
        <v>988</v>
      </c>
      <c r="C82" s="576">
        <f>SUM(C77:C81)</f>
        <v>3936154.4757400374</v>
      </c>
      <c r="D82" s="576">
        <v>4286784.7002993794</v>
      </c>
      <c r="E82" s="576">
        <f t="shared" ref="E82:K82" si="63">SUM(E77:E81)</f>
        <v>1281288</v>
      </c>
      <c r="F82" s="576">
        <f t="shared" si="63"/>
        <v>1437793.7195479879</v>
      </c>
      <c r="G82" s="576">
        <f>SUM(G77:G81)</f>
        <v>1367793.7195479879</v>
      </c>
      <c r="H82" s="576">
        <f t="shared" ref="H82" si="64">SUM(H77:H81)</f>
        <v>0</v>
      </c>
      <c r="I82" s="576">
        <f t="shared" si="63"/>
        <v>14000</v>
      </c>
      <c r="J82" s="576">
        <f t="shared" si="63"/>
        <v>1450721.8663344276</v>
      </c>
      <c r="K82" s="576">
        <f t="shared" si="63"/>
        <v>1464721.8663344276</v>
      </c>
      <c r="L82" s="576">
        <f>E82+G82+K82</f>
        <v>4113803.5858824155</v>
      </c>
      <c r="M82" s="579"/>
      <c r="N82" s="577">
        <f t="shared" ref="N82:P82" si="65">SUM(N77:N81)</f>
        <v>14000</v>
      </c>
      <c r="O82" s="577">
        <f t="shared" si="65"/>
        <v>1541494.382360247</v>
      </c>
      <c r="P82" s="577">
        <f t="shared" si="65"/>
        <v>1555494.382360247</v>
      </c>
      <c r="Q82" s="594"/>
      <c r="R82" s="577">
        <f t="shared" si="51"/>
        <v>1555494.382360247</v>
      </c>
      <c r="S82" s="579"/>
      <c r="T82" s="580">
        <f t="shared" ref="T82:Y82" si="66">SUM(T77:T81)</f>
        <v>1485674.6383238048</v>
      </c>
      <c r="U82" s="580">
        <f t="shared" si="66"/>
        <v>14000</v>
      </c>
      <c r="V82" s="580">
        <f t="shared" si="66"/>
        <v>1504418.0864759858</v>
      </c>
      <c r="W82" s="580">
        <f t="shared" si="66"/>
        <v>1518418.0864759858</v>
      </c>
      <c r="X82" s="580">
        <f t="shared" si="66"/>
        <v>3004092.7247997904</v>
      </c>
      <c r="Y82" s="595">
        <f t="shared" si="66"/>
        <v>0</v>
      </c>
    </row>
    <row r="83" spans="1:25">
      <c r="A83" s="161">
        <f t="shared" si="62"/>
        <v>635</v>
      </c>
      <c r="N83" s="377"/>
      <c r="O83" s="377"/>
      <c r="P83" s="377">
        <f t="shared" si="50"/>
        <v>0</v>
      </c>
      <c r="Q83" s="592"/>
      <c r="R83" s="377">
        <f t="shared" si="51"/>
        <v>0</v>
      </c>
      <c r="T83" s="379"/>
      <c r="U83" s="379"/>
      <c r="V83" s="379"/>
      <c r="W83" s="379"/>
      <c r="X83" s="379"/>
      <c r="Y83" s="380"/>
    </row>
    <row r="84" spans="1:25" ht="16.149999999999999" customHeight="1">
      <c r="A84" s="161">
        <f t="shared" si="62"/>
        <v>636</v>
      </c>
      <c r="B84" s="369" t="s">
        <v>989</v>
      </c>
      <c r="H84" s="211" t="s">
        <v>990</v>
      </c>
      <c r="N84" s="377"/>
      <c r="O84" s="377"/>
      <c r="P84" s="377">
        <f t="shared" si="50"/>
        <v>0</v>
      </c>
      <c r="Q84" s="592"/>
      <c r="R84" s="377">
        <f t="shared" si="51"/>
        <v>0</v>
      </c>
      <c r="T84" s="379"/>
      <c r="U84" s="379"/>
      <c r="V84" s="379"/>
      <c r="W84" s="53">
        <f t="shared" ref="W84:W99" si="67">U84+V84</f>
        <v>0</v>
      </c>
      <c r="X84" s="191">
        <f t="shared" ref="X84:X99" si="68">T84+W84</f>
        <v>0</v>
      </c>
      <c r="Y84" s="380"/>
    </row>
    <row r="85" spans="1:25">
      <c r="A85" s="161">
        <f t="shared" si="62"/>
        <v>637</v>
      </c>
      <c r="B85" s="362" t="s">
        <v>991</v>
      </c>
      <c r="C85" s="69">
        <v>1069000</v>
      </c>
      <c r="D85" s="69">
        <v>0</v>
      </c>
      <c r="E85" s="181"/>
      <c r="F85" s="181"/>
      <c r="G85" s="181"/>
      <c r="H85" s="182"/>
      <c r="I85" s="181"/>
      <c r="J85" s="181"/>
      <c r="K85" s="181"/>
      <c r="L85" s="181"/>
      <c r="M85" s="183"/>
      <c r="N85" s="184"/>
      <c r="O85" s="184"/>
      <c r="P85" s="184">
        <f t="shared" si="50"/>
        <v>0</v>
      </c>
      <c r="Q85" s="625"/>
      <c r="R85" s="184">
        <f t="shared" si="51"/>
        <v>0</v>
      </c>
      <c r="S85" s="183"/>
      <c r="T85" s="379"/>
      <c r="U85" s="379"/>
      <c r="V85" s="53">
        <v>0</v>
      </c>
      <c r="W85" s="53">
        <f t="shared" si="67"/>
        <v>0</v>
      </c>
      <c r="X85" s="191">
        <f t="shared" si="68"/>
        <v>0</v>
      </c>
      <c r="Y85" s="380"/>
    </row>
    <row r="86" spans="1:25">
      <c r="A86" s="161" t="s">
        <v>992</v>
      </c>
      <c r="B86" s="362" t="s">
        <v>993</v>
      </c>
      <c r="E86" s="181"/>
      <c r="F86" s="181"/>
      <c r="G86" s="181"/>
      <c r="H86" s="182"/>
      <c r="I86" s="181"/>
      <c r="J86" s="181"/>
      <c r="K86" s="181"/>
      <c r="L86" s="181">
        <f>E86+G86+K86</f>
        <v>0</v>
      </c>
      <c r="M86" s="183"/>
      <c r="N86" s="184"/>
      <c r="O86" s="184"/>
      <c r="P86" s="184">
        <f t="shared" si="50"/>
        <v>0</v>
      </c>
      <c r="Q86" s="625"/>
      <c r="R86" s="184">
        <f t="shared" si="51"/>
        <v>0</v>
      </c>
      <c r="S86" s="183"/>
      <c r="T86" s="379"/>
      <c r="U86" s="379"/>
      <c r="V86" s="53">
        <v>0</v>
      </c>
      <c r="W86" s="53">
        <f t="shared" si="67"/>
        <v>0</v>
      </c>
      <c r="X86" s="191">
        <f t="shared" si="68"/>
        <v>0</v>
      </c>
      <c r="Y86" s="380"/>
    </row>
    <row r="87" spans="1:25">
      <c r="A87" s="161">
        <f>A85+1</f>
        <v>638</v>
      </c>
      <c r="B87" s="362" t="s">
        <v>267</v>
      </c>
      <c r="D87" s="69">
        <v>300000</v>
      </c>
      <c r="E87" s="181">
        <f>1011696-943872</f>
        <v>67824</v>
      </c>
      <c r="F87" s="181">
        <v>100000</v>
      </c>
      <c r="G87" s="181">
        <v>100000</v>
      </c>
      <c r="H87" s="182"/>
      <c r="I87" s="181"/>
      <c r="J87" s="181">
        <v>100000</v>
      </c>
      <c r="K87" s="181">
        <f>J87</f>
        <v>100000</v>
      </c>
      <c r="L87" s="181"/>
      <c r="M87" s="183"/>
      <c r="N87" s="184"/>
      <c r="O87" s="184">
        <v>100000</v>
      </c>
      <c r="P87" s="184">
        <f t="shared" si="50"/>
        <v>100000</v>
      </c>
      <c r="Q87" s="592" t="s">
        <v>994</v>
      </c>
      <c r="R87" s="184">
        <f t="shared" si="51"/>
        <v>100000</v>
      </c>
      <c r="S87" s="183"/>
      <c r="T87" s="379">
        <v>100000</v>
      </c>
      <c r="U87" s="379"/>
      <c r="V87" s="53">
        <v>100000</v>
      </c>
      <c r="W87" s="53">
        <f t="shared" si="67"/>
        <v>100000</v>
      </c>
      <c r="X87" s="191">
        <f t="shared" si="68"/>
        <v>200000</v>
      </c>
      <c r="Y87" s="380"/>
    </row>
    <row r="88" spans="1:25" ht="19.5" customHeight="1">
      <c r="A88" s="161">
        <f t="shared" si="62"/>
        <v>639</v>
      </c>
      <c r="B88" s="362" t="s">
        <v>428</v>
      </c>
      <c r="D88" s="69">
        <v>15000</v>
      </c>
      <c r="E88" s="181"/>
      <c r="F88" s="181">
        <v>6250</v>
      </c>
      <c r="G88" s="181">
        <v>0</v>
      </c>
      <c r="H88" s="182"/>
      <c r="I88" s="181">
        <v>22000</v>
      </c>
      <c r="J88" s="181">
        <v>3125</v>
      </c>
      <c r="K88" s="181">
        <f t="shared" ref="K88:K99" si="69">J88</f>
        <v>3125</v>
      </c>
      <c r="L88" s="181"/>
      <c r="M88" s="183"/>
      <c r="N88" s="184">
        <v>22000</v>
      </c>
      <c r="O88" s="184">
        <v>4000</v>
      </c>
      <c r="P88" s="184">
        <f t="shared" si="50"/>
        <v>26000</v>
      </c>
      <c r="Q88" s="592" t="s">
        <v>995</v>
      </c>
      <c r="R88" s="184">
        <f t="shared" si="51"/>
        <v>26000</v>
      </c>
      <c r="S88" s="183"/>
      <c r="T88" s="379">
        <v>4000</v>
      </c>
      <c r="U88" s="379">
        <v>20000</v>
      </c>
      <c r="V88" s="53">
        <v>4000</v>
      </c>
      <c r="W88" s="53">
        <f t="shared" si="67"/>
        <v>24000</v>
      </c>
      <c r="X88" s="191">
        <f t="shared" si="68"/>
        <v>28000</v>
      </c>
      <c r="Y88" s="380"/>
    </row>
    <row r="89" spans="1:25" ht="55.5" customHeight="1">
      <c r="A89" s="161">
        <f t="shared" si="62"/>
        <v>640</v>
      </c>
      <c r="B89" s="362" t="s">
        <v>498</v>
      </c>
      <c r="D89" s="69">
        <v>181440</v>
      </c>
      <c r="E89" s="181">
        <v>12294</v>
      </c>
      <c r="F89" s="181">
        <v>60480</v>
      </c>
      <c r="G89" s="181">
        <v>60480</v>
      </c>
      <c r="H89" s="182"/>
      <c r="I89" s="181"/>
      <c r="J89" s="181">
        <v>60480</v>
      </c>
      <c r="K89" s="181">
        <f t="shared" si="69"/>
        <v>60480</v>
      </c>
      <c r="L89" s="181">
        <f>E89+G89+K89</f>
        <v>133254</v>
      </c>
      <c r="M89" s="183"/>
      <c r="N89" s="184"/>
      <c r="O89" s="184">
        <v>60480</v>
      </c>
      <c r="P89" s="184">
        <f t="shared" si="50"/>
        <v>60480</v>
      </c>
      <c r="Q89" s="592" t="s">
        <v>996</v>
      </c>
      <c r="R89" s="184">
        <f t="shared" si="51"/>
        <v>60480</v>
      </c>
      <c r="S89" s="183"/>
      <c r="T89" s="379">
        <v>60480</v>
      </c>
      <c r="U89" s="379"/>
      <c r="V89" s="53">
        <v>60480</v>
      </c>
      <c r="W89" s="53">
        <f t="shared" si="67"/>
        <v>60480</v>
      </c>
      <c r="X89" s="191">
        <f t="shared" si="68"/>
        <v>120960</v>
      </c>
      <c r="Y89" s="380"/>
    </row>
    <row r="90" spans="1:25">
      <c r="A90" s="161">
        <f t="shared" si="62"/>
        <v>641</v>
      </c>
      <c r="B90" s="362" t="s">
        <v>997</v>
      </c>
      <c r="D90" s="69">
        <v>105000</v>
      </c>
      <c r="E90" s="181"/>
      <c r="F90" s="181">
        <v>35000</v>
      </c>
      <c r="G90" s="181">
        <v>35000</v>
      </c>
      <c r="H90" s="182"/>
      <c r="I90" s="181"/>
      <c r="J90" s="181">
        <v>30000</v>
      </c>
      <c r="K90" s="181">
        <f t="shared" si="69"/>
        <v>30000</v>
      </c>
      <c r="L90" s="181"/>
      <c r="M90" s="183"/>
      <c r="N90" s="184"/>
      <c r="O90" s="184">
        <v>30000</v>
      </c>
      <c r="P90" s="184">
        <f t="shared" si="50"/>
        <v>30000</v>
      </c>
      <c r="Q90" s="592"/>
      <c r="R90" s="184">
        <f t="shared" si="51"/>
        <v>30000</v>
      </c>
      <c r="S90" s="183"/>
      <c r="T90" s="379">
        <v>30000</v>
      </c>
      <c r="U90" s="379"/>
      <c r="V90" s="53">
        <v>30000</v>
      </c>
      <c r="W90" s="53">
        <f t="shared" si="67"/>
        <v>30000</v>
      </c>
      <c r="X90" s="191">
        <f t="shared" si="68"/>
        <v>60000</v>
      </c>
      <c r="Y90" s="380"/>
    </row>
    <row r="91" spans="1:25">
      <c r="A91" s="161">
        <f t="shared" si="62"/>
        <v>642</v>
      </c>
      <c r="B91" s="362" t="s">
        <v>998</v>
      </c>
      <c r="D91" s="69">
        <v>4500</v>
      </c>
      <c r="E91" s="181">
        <v>941</v>
      </c>
      <c r="F91" s="181">
        <v>1500</v>
      </c>
      <c r="G91" s="181">
        <v>1500</v>
      </c>
      <c r="H91" s="182"/>
      <c r="I91" s="181"/>
      <c r="J91" s="181">
        <v>3000</v>
      </c>
      <c r="K91" s="181">
        <f t="shared" si="69"/>
        <v>3000</v>
      </c>
      <c r="L91" s="181"/>
      <c r="M91" s="183"/>
      <c r="N91" s="184"/>
      <c r="O91" s="184">
        <v>5000</v>
      </c>
      <c r="P91" s="184">
        <f t="shared" si="50"/>
        <v>5000</v>
      </c>
      <c r="Q91" s="592" t="s">
        <v>999</v>
      </c>
      <c r="R91" s="184">
        <f t="shared" si="51"/>
        <v>5000</v>
      </c>
      <c r="S91" s="183"/>
      <c r="T91" s="379">
        <v>5000</v>
      </c>
      <c r="U91" s="379"/>
      <c r="V91" s="53">
        <v>5000</v>
      </c>
      <c r="W91" s="53">
        <f t="shared" si="67"/>
        <v>5000</v>
      </c>
      <c r="X91" s="191">
        <f t="shared" si="68"/>
        <v>10000</v>
      </c>
      <c r="Y91" s="380"/>
    </row>
    <row r="92" spans="1:25">
      <c r="A92" s="161">
        <f t="shared" si="62"/>
        <v>643</v>
      </c>
      <c r="B92" s="362" t="s">
        <v>1000</v>
      </c>
      <c r="D92" s="69">
        <v>30000</v>
      </c>
      <c r="E92" s="181">
        <v>5961</v>
      </c>
      <c r="F92" s="181">
        <v>10000</v>
      </c>
      <c r="G92" s="181">
        <v>10000</v>
      </c>
      <c r="H92" s="182"/>
      <c r="I92" s="181"/>
      <c r="J92" s="181">
        <v>10000</v>
      </c>
      <c r="K92" s="181">
        <f t="shared" si="69"/>
        <v>10000</v>
      </c>
      <c r="L92" s="181"/>
      <c r="M92" s="183"/>
      <c r="N92" s="184"/>
      <c r="O92" s="184">
        <v>10000</v>
      </c>
      <c r="P92" s="184">
        <f t="shared" si="50"/>
        <v>10000</v>
      </c>
      <c r="Q92" s="592"/>
      <c r="R92" s="184">
        <f t="shared" si="51"/>
        <v>10000</v>
      </c>
      <c r="S92" s="183"/>
      <c r="T92" s="379">
        <v>10000</v>
      </c>
      <c r="U92" s="379"/>
      <c r="V92" s="53">
        <v>10000</v>
      </c>
      <c r="W92" s="53">
        <f t="shared" si="67"/>
        <v>10000</v>
      </c>
      <c r="X92" s="191">
        <f t="shared" si="68"/>
        <v>20000</v>
      </c>
      <c r="Y92" s="380"/>
    </row>
    <row r="93" spans="1:25">
      <c r="A93" s="161">
        <f t="shared" si="62"/>
        <v>644</v>
      </c>
      <c r="B93" s="362" t="s">
        <v>1001</v>
      </c>
      <c r="D93" s="69">
        <v>90000</v>
      </c>
      <c r="E93" s="181">
        <v>21200</v>
      </c>
      <c r="F93" s="181">
        <v>35000</v>
      </c>
      <c r="G93" s="181">
        <v>35000</v>
      </c>
      <c r="H93" s="182"/>
      <c r="I93" s="181"/>
      <c r="J93" s="181">
        <v>35000</v>
      </c>
      <c r="K93" s="181">
        <f t="shared" si="69"/>
        <v>35000</v>
      </c>
      <c r="L93" s="181"/>
      <c r="M93" s="183"/>
      <c r="N93" s="184"/>
      <c r="O93" s="184">
        <v>37500</v>
      </c>
      <c r="P93" s="184">
        <f t="shared" si="50"/>
        <v>37500</v>
      </c>
      <c r="Q93" s="592"/>
      <c r="R93" s="184">
        <f t="shared" si="51"/>
        <v>37500</v>
      </c>
      <c r="S93" s="183"/>
      <c r="T93" s="379">
        <v>37500</v>
      </c>
      <c r="U93" s="379"/>
      <c r="V93" s="53">
        <v>37500</v>
      </c>
      <c r="W93" s="53">
        <f t="shared" si="67"/>
        <v>37500</v>
      </c>
      <c r="X93" s="191">
        <f t="shared" si="68"/>
        <v>75000</v>
      </c>
      <c r="Y93" s="380"/>
    </row>
    <row r="94" spans="1:25">
      <c r="A94" s="161">
        <f t="shared" si="62"/>
        <v>645</v>
      </c>
      <c r="B94" s="362" t="s">
        <v>1002</v>
      </c>
      <c r="E94" s="181">
        <v>25360</v>
      </c>
      <c r="F94" s="181"/>
      <c r="G94" s="181"/>
      <c r="H94" s="182"/>
      <c r="I94" s="181"/>
      <c r="J94" s="181"/>
      <c r="K94" s="181">
        <f t="shared" si="69"/>
        <v>0</v>
      </c>
      <c r="L94" s="181"/>
      <c r="M94" s="183"/>
      <c r="N94" s="184"/>
      <c r="O94" s="184"/>
      <c r="P94" s="184">
        <f t="shared" si="50"/>
        <v>0</v>
      </c>
      <c r="Q94" s="592"/>
      <c r="R94" s="184">
        <f t="shared" si="51"/>
        <v>0</v>
      </c>
      <c r="S94" s="183"/>
      <c r="T94" s="379">
        <v>0</v>
      </c>
      <c r="U94" s="379"/>
      <c r="V94" s="53">
        <v>0</v>
      </c>
      <c r="W94" s="53">
        <f t="shared" si="67"/>
        <v>0</v>
      </c>
      <c r="X94" s="191">
        <f t="shared" si="68"/>
        <v>0</v>
      </c>
      <c r="Y94" s="380"/>
    </row>
    <row r="95" spans="1:25" ht="61.9" customHeight="1">
      <c r="A95" s="161">
        <f t="shared" si="62"/>
        <v>646</v>
      </c>
      <c r="B95" s="626" t="s">
        <v>1003</v>
      </c>
      <c r="D95" s="69">
        <v>90000</v>
      </c>
      <c r="E95" s="181"/>
      <c r="F95" s="181">
        <v>15000</v>
      </c>
      <c r="G95" s="181">
        <v>15000</v>
      </c>
      <c r="H95" s="182"/>
      <c r="I95" s="181"/>
      <c r="J95" s="181">
        <v>15000</v>
      </c>
      <c r="K95" s="181">
        <f t="shared" si="69"/>
        <v>15000</v>
      </c>
      <c r="L95" s="181"/>
      <c r="M95" s="183"/>
      <c r="N95" s="184"/>
      <c r="O95" s="184">
        <v>45000</v>
      </c>
      <c r="P95" s="184">
        <f t="shared" si="50"/>
        <v>45000</v>
      </c>
      <c r="Q95" s="627" t="s">
        <v>1004</v>
      </c>
      <c r="R95" s="184">
        <f t="shared" si="51"/>
        <v>45000</v>
      </c>
      <c r="S95" s="183"/>
      <c r="T95" s="379">
        <v>15000</v>
      </c>
      <c r="U95" s="379"/>
      <c r="V95" s="53">
        <v>15000</v>
      </c>
      <c r="W95" s="53">
        <f t="shared" si="67"/>
        <v>15000</v>
      </c>
      <c r="X95" s="191">
        <f t="shared" si="68"/>
        <v>30000</v>
      </c>
      <c r="Y95" s="380"/>
    </row>
    <row r="96" spans="1:25">
      <c r="A96" s="161">
        <f t="shared" si="62"/>
        <v>647</v>
      </c>
      <c r="B96" s="626" t="s">
        <v>1005</v>
      </c>
      <c r="D96" s="69">
        <v>22650</v>
      </c>
      <c r="E96" s="181"/>
      <c r="F96" s="181">
        <v>6500</v>
      </c>
      <c r="G96" s="181">
        <v>6500</v>
      </c>
      <c r="H96" s="182"/>
      <c r="I96" s="181"/>
      <c r="J96" s="181">
        <v>6500</v>
      </c>
      <c r="K96" s="181">
        <f t="shared" si="69"/>
        <v>6500</v>
      </c>
      <c r="L96" s="181"/>
      <c r="M96" s="183"/>
      <c r="N96" s="184"/>
      <c r="O96" s="184">
        <v>6500</v>
      </c>
      <c r="P96" s="184">
        <f t="shared" si="50"/>
        <v>6500</v>
      </c>
      <c r="Q96" s="592"/>
      <c r="R96" s="184">
        <f t="shared" si="51"/>
        <v>6500</v>
      </c>
      <c r="S96" s="183"/>
      <c r="T96" s="379">
        <v>6500</v>
      </c>
      <c r="U96" s="379"/>
      <c r="V96" s="53">
        <v>6500</v>
      </c>
      <c r="W96" s="53">
        <f t="shared" si="67"/>
        <v>6500</v>
      </c>
      <c r="X96" s="191">
        <f t="shared" si="68"/>
        <v>13000</v>
      </c>
      <c r="Y96" s="380"/>
    </row>
    <row r="97" spans="1:25" ht="80.650000000000006" customHeight="1">
      <c r="A97" s="161">
        <f t="shared" si="62"/>
        <v>648</v>
      </c>
      <c r="B97" s="362" t="s">
        <v>1006</v>
      </c>
      <c r="D97" s="69">
        <v>205243</v>
      </c>
      <c r="E97" s="181">
        <v>61149</v>
      </c>
      <c r="F97" s="181">
        <v>75626</v>
      </c>
      <c r="G97" s="181">
        <v>75626</v>
      </c>
      <c r="H97" s="182"/>
      <c r="I97" s="181"/>
      <c r="J97" s="181">
        <v>75626</v>
      </c>
      <c r="K97" s="181">
        <f t="shared" si="69"/>
        <v>75626</v>
      </c>
      <c r="L97" s="181"/>
      <c r="M97" s="183"/>
      <c r="N97" s="184"/>
      <c r="O97" s="184">
        <v>75626</v>
      </c>
      <c r="P97" s="184">
        <f t="shared" si="50"/>
        <v>75626</v>
      </c>
      <c r="Q97" s="621" t="s">
        <v>1007</v>
      </c>
      <c r="R97" s="184">
        <f t="shared" si="51"/>
        <v>75626</v>
      </c>
      <c r="S97" s="183"/>
      <c r="T97" s="379">
        <v>76000</v>
      </c>
      <c r="U97" s="379">
        <v>60000</v>
      </c>
      <c r="V97" s="53">
        <v>76000</v>
      </c>
      <c r="W97" s="53">
        <f t="shared" si="67"/>
        <v>136000</v>
      </c>
      <c r="X97" s="191">
        <f t="shared" si="68"/>
        <v>212000</v>
      </c>
      <c r="Y97" s="380" t="s">
        <v>1008</v>
      </c>
    </row>
    <row r="98" spans="1:25" ht="21" customHeight="1">
      <c r="A98" s="161" t="s">
        <v>1009</v>
      </c>
      <c r="B98" s="362" t="s">
        <v>876</v>
      </c>
      <c r="E98" s="181"/>
      <c r="F98" s="181"/>
      <c r="G98" s="181"/>
      <c r="H98" s="182"/>
      <c r="I98" s="181"/>
      <c r="J98" s="181"/>
      <c r="K98" s="181">
        <f>I100</f>
        <v>22000</v>
      </c>
      <c r="L98" s="181">
        <f t="shared" ref="L98:L99" si="70">E98+G98+K98</f>
        <v>22000</v>
      </c>
      <c r="M98" s="183"/>
      <c r="N98" s="184"/>
      <c r="O98" s="184"/>
      <c r="P98" s="184">
        <f t="shared" si="50"/>
        <v>0</v>
      </c>
      <c r="Q98" s="621" t="s">
        <v>1008</v>
      </c>
      <c r="R98" s="184">
        <f t="shared" si="51"/>
        <v>0</v>
      </c>
      <c r="S98" s="183"/>
      <c r="T98" s="379"/>
      <c r="U98" s="379"/>
      <c r="V98" s="53"/>
      <c r="W98" s="53">
        <f t="shared" si="67"/>
        <v>0</v>
      </c>
      <c r="X98" s="191">
        <f t="shared" si="68"/>
        <v>0</v>
      </c>
      <c r="Y98" s="380"/>
    </row>
    <row r="99" spans="1:25" ht="19.350000000000001" customHeight="1">
      <c r="A99" s="161">
        <f>A97+1</f>
        <v>649</v>
      </c>
      <c r="B99" s="362" t="s">
        <v>405</v>
      </c>
      <c r="C99" s="69">
        <f>'[4]Salary Summary GC Adopted'!Y26</f>
        <v>2230583.5318821394</v>
      </c>
      <c r="D99" s="362">
        <v>2441215.2863339679</v>
      </c>
      <c r="E99" s="362">
        <v>816967</v>
      </c>
      <c r="F99" s="362">
        <f>'[3]Salary Summary 19 for 2019-2021'!L28</f>
        <v>882593.86790141207</v>
      </c>
      <c r="G99" s="362">
        <v>882593.86790141207</v>
      </c>
      <c r="H99" s="305"/>
      <c r="I99" s="362"/>
      <c r="J99" s="362">
        <f>'[3]Salary Summary 20 for 2019-2021'!P28</f>
        <v>919862.50932166597</v>
      </c>
      <c r="K99" s="181">
        <f t="shared" si="69"/>
        <v>919862.50932166597</v>
      </c>
      <c r="L99" s="181">
        <f t="shared" si="70"/>
        <v>2619423.3772230782</v>
      </c>
      <c r="M99" s="183"/>
      <c r="N99" s="574"/>
      <c r="O99" s="184">
        <f>'Salary Summary 21 for 2022-2024'!M29</f>
        <v>964945.42956402083</v>
      </c>
      <c r="P99" s="184">
        <f t="shared" si="50"/>
        <v>964945.42956402083</v>
      </c>
      <c r="Q99" s="621" t="s">
        <v>1010</v>
      </c>
      <c r="R99" s="184">
        <f t="shared" si="51"/>
        <v>964945.42956402083</v>
      </c>
      <c r="S99" s="183"/>
      <c r="T99" s="379">
        <f>'Salary Summary 21 for 2022-2024'!Q29</f>
        <v>984065.30283262965</v>
      </c>
      <c r="U99" s="379"/>
      <c r="V99" s="53">
        <f>'Salary Summary 21 for 2022-2024'!U29</f>
        <v>1015441.03245471</v>
      </c>
      <c r="W99" s="53">
        <f t="shared" si="67"/>
        <v>1015441.03245471</v>
      </c>
      <c r="X99" s="191">
        <f t="shared" si="68"/>
        <v>1999506.3352873395</v>
      </c>
      <c r="Y99" s="380"/>
    </row>
    <row r="100" spans="1:25" s="571" customFormat="1">
      <c r="A100" s="172">
        <f t="shared" si="62"/>
        <v>650</v>
      </c>
      <c r="B100" s="571" t="s">
        <v>1011</v>
      </c>
      <c r="C100" s="576">
        <f>SUM(C85:C99)</f>
        <v>3299583.5318821394</v>
      </c>
      <c r="D100" s="576">
        <f t="shared" ref="D100:F100" si="71">SUM(D85:D99)</f>
        <v>3485048.2863339679</v>
      </c>
      <c r="E100" s="576">
        <f t="shared" si="71"/>
        <v>1011696</v>
      </c>
      <c r="F100" s="576">
        <f t="shared" si="71"/>
        <v>1227949.8679014121</v>
      </c>
      <c r="G100" s="576">
        <f>SUM(G85:G99)</f>
        <v>1221699.8679014121</v>
      </c>
      <c r="H100" s="619"/>
      <c r="I100" s="576">
        <f t="shared" ref="I100:K100" si="72">SUM(I85:I99)</f>
        <v>22000</v>
      </c>
      <c r="J100" s="576">
        <f t="shared" si="72"/>
        <v>1258593.5093216659</v>
      </c>
      <c r="K100" s="576">
        <f t="shared" si="72"/>
        <v>1280593.5093216659</v>
      </c>
      <c r="L100" s="576">
        <f>E100+G100+K100</f>
        <v>3513989.3772230777</v>
      </c>
      <c r="M100" s="579"/>
      <c r="N100" s="577">
        <f t="shared" ref="N100:P100" si="73">SUM(N85:N99)</f>
        <v>22000</v>
      </c>
      <c r="O100" s="577">
        <f t="shared" si="73"/>
        <v>1339051.4295640208</v>
      </c>
      <c r="P100" s="577">
        <f t="shared" si="73"/>
        <v>1361051.4295640208</v>
      </c>
      <c r="Q100" s="594"/>
      <c r="R100" s="577">
        <f t="shared" si="51"/>
        <v>1361051.4295640208</v>
      </c>
      <c r="S100" s="579"/>
      <c r="T100" s="580">
        <f t="shared" ref="T100:X100" si="74">SUM(T85:T99)</f>
        <v>1328545.3028326295</v>
      </c>
      <c r="U100" s="580">
        <f t="shared" si="74"/>
        <v>80000</v>
      </c>
      <c r="V100" s="580">
        <f t="shared" si="74"/>
        <v>1359921.03245471</v>
      </c>
      <c r="W100" s="580">
        <f t="shared" si="74"/>
        <v>1439921.03245471</v>
      </c>
      <c r="X100" s="580">
        <f t="shared" si="74"/>
        <v>2768466.3352873395</v>
      </c>
      <c r="Y100" s="628"/>
    </row>
    <row r="101" spans="1:25">
      <c r="A101" s="161">
        <f t="shared" si="62"/>
        <v>651</v>
      </c>
      <c r="G101" s="162"/>
      <c r="H101" s="163"/>
      <c r="N101" s="377"/>
      <c r="O101" s="377"/>
      <c r="P101" s="377"/>
      <c r="Q101" s="592"/>
      <c r="R101" s="377">
        <f t="shared" si="51"/>
        <v>0</v>
      </c>
      <c r="T101" s="379"/>
      <c r="U101" s="379"/>
      <c r="V101" s="379"/>
      <c r="W101" s="379"/>
      <c r="X101" s="379"/>
      <c r="Y101" s="380"/>
    </row>
    <row r="102" spans="1:25" ht="31.5">
      <c r="A102" s="161">
        <f t="shared" si="62"/>
        <v>652</v>
      </c>
      <c r="B102" s="369" t="s">
        <v>1012</v>
      </c>
      <c r="E102" s="181"/>
      <c r="F102" s="162"/>
      <c r="G102" s="162"/>
      <c r="H102" s="163"/>
      <c r="I102" s="162"/>
      <c r="J102" s="162"/>
      <c r="K102" s="162"/>
      <c r="L102" s="162"/>
      <c r="M102" s="164"/>
      <c r="N102" s="165"/>
      <c r="O102" s="165"/>
      <c r="P102" s="165"/>
      <c r="Q102" s="592" t="s">
        <v>1013</v>
      </c>
      <c r="R102" s="165">
        <f t="shared" si="51"/>
        <v>0</v>
      </c>
      <c r="S102" s="164"/>
      <c r="T102" s="379"/>
      <c r="U102" s="379"/>
      <c r="V102" s="379"/>
      <c r="W102" s="379"/>
      <c r="X102" s="379"/>
      <c r="Y102" s="380"/>
    </row>
    <row r="103" spans="1:25">
      <c r="A103" s="161">
        <f t="shared" si="62"/>
        <v>653</v>
      </c>
      <c r="B103" s="362" t="s">
        <v>1014</v>
      </c>
      <c r="C103" s="69">
        <v>5502984.5499999998</v>
      </c>
      <c r="D103" s="69">
        <v>0</v>
      </c>
      <c r="E103" s="181"/>
      <c r="F103" s="162"/>
      <c r="G103" s="162"/>
      <c r="H103" s="163"/>
      <c r="I103" s="162"/>
      <c r="J103" s="162"/>
      <c r="K103" s="162"/>
      <c r="L103" s="162"/>
      <c r="M103" s="164"/>
      <c r="N103" s="165"/>
      <c r="O103" s="165"/>
      <c r="P103" s="165"/>
      <c r="Q103" s="592"/>
      <c r="R103" s="165">
        <f t="shared" si="51"/>
        <v>0</v>
      </c>
      <c r="S103" s="164"/>
      <c r="T103" s="379"/>
      <c r="U103" s="379"/>
      <c r="V103" s="53"/>
      <c r="W103" s="53"/>
      <c r="X103" s="379"/>
      <c r="Y103" s="380"/>
    </row>
    <row r="104" spans="1:25">
      <c r="A104" s="161">
        <f t="shared" si="62"/>
        <v>654</v>
      </c>
      <c r="B104" s="362" t="s">
        <v>1015</v>
      </c>
      <c r="D104" s="69">
        <v>648000</v>
      </c>
      <c r="E104" s="181"/>
      <c r="F104" s="162">
        <v>218000</v>
      </c>
      <c r="G104" s="162">
        <v>218000</v>
      </c>
      <c r="H104" s="163"/>
      <c r="I104" s="162"/>
      <c r="J104" s="162">
        <v>218000</v>
      </c>
      <c r="K104" s="162">
        <f>J104</f>
        <v>218000</v>
      </c>
      <c r="L104" s="162"/>
      <c r="M104" s="164"/>
      <c r="N104" s="165"/>
      <c r="O104" s="165">
        <v>222360</v>
      </c>
      <c r="P104" s="165">
        <f t="shared" si="50"/>
        <v>222360</v>
      </c>
      <c r="Q104" s="592"/>
      <c r="R104" s="165">
        <f t="shared" si="51"/>
        <v>222360</v>
      </c>
      <c r="S104" s="164"/>
      <c r="T104" s="379">
        <v>222360</v>
      </c>
      <c r="U104" s="379"/>
      <c r="V104" s="53">
        <v>222360</v>
      </c>
      <c r="W104" s="53">
        <f t="shared" ref="V104:W128" si="75">U104+V104</f>
        <v>222360</v>
      </c>
      <c r="X104" s="191">
        <f t="shared" ref="X104:X128" si="76">T104+W104</f>
        <v>444720</v>
      </c>
      <c r="Y104" s="380"/>
    </row>
    <row r="105" spans="1:25">
      <c r="A105" s="161">
        <f t="shared" si="62"/>
        <v>655</v>
      </c>
      <c r="B105" s="362" t="s">
        <v>1016</v>
      </c>
      <c r="D105" s="69">
        <v>831000</v>
      </c>
      <c r="E105" s="181"/>
      <c r="F105" s="162">
        <v>292000</v>
      </c>
      <c r="G105" s="162">
        <v>292000</v>
      </c>
      <c r="H105" s="163"/>
      <c r="I105" s="162"/>
      <c r="J105" s="162">
        <v>392600</v>
      </c>
      <c r="K105" s="162">
        <f t="shared" ref="K105:K128" si="77">J105</f>
        <v>392600</v>
      </c>
      <c r="L105" s="162"/>
      <c r="M105" s="164"/>
      <c r="N105" s="165"/>
      <c r="O105" s="165">
        <v>392600</v>
      </c>
      <c r="P105" s="165">
        <f t="shared" si="50"/>
        <v>392600</v>
      </c>
      <c r="Q105" s="592" t="s">
        <v>1017</v>
      </c>
      <c r="R105" s="165">
        <f t="shared" si="51"/>
        <v>392600</v>
      </c>
      <c r="S105" s="164"/>
      <c r="T105" s="379">
        <v>304000</v>
      </c>
      <c r="U105" s="379"/>
      <c r="V105" s="53">
        <v>310000</v>
      </c>
      <c r="W105" s="53">
        <f t="shared" si="75"/>
        <v>310000</v>
      </c>
      <c r="X105" s="191">
        <f t="shared" si="76"/>
        <v>614000</v>
      </c>
      <c r="Y105" s="380"/>
    </row>
    <row r="106" spans="1:25">
      <c r="A106" s="161">
        <f t="shared" si="62"/>
        <v>656</v>
      </c>
      <c r="B106" s="362" t="s">
        <v>1018</v>
      </c>
      <c r="D106" s="69">
        <v>1020000</v>
      </c>
      <c r="E106" s="181"/>
      <c r="F106" s="162">
        <v>389000</v>
      </c>
      <c r="G106" s="162">
        <v>389000</v>
      </c>
      <c r="H106" s="163"/>
      <c r="I106" s="162"/>
      <c r="J106" s="162">
        <v>389000</v>
      </c>
      <c r="K106" s="162">
        <f t="shared" si="77"/>
        <v>389000</v>
      </c>
      <c r="L106" s="162"/>
      <c r="M106" s="164"/>
      <c r="N106" s="165"/>
      <c r="O106" s="165">
        <v>404000</v>
      </c>
      <c r="P106" s="165">
        <f t="shared" si="50"/>
        <v>404000</v>
      </c>
      <c r="Q106" s="592"/>
      <c r="R106" s="165">
        <f t="shared" si="51"/>
        <v>404000</v>
      </c>
      <c r="S106" s="164"/>
      <c r="T106" s="379">
        <v>416120</v>
      </c>
      <c r="U106" s="379"/>
      <c r="V106" s="53">
        <v>428603.60000000003</v>
      </c>
      <c r="W106" s="53">
        <f t="shared" si="75"/>
        <v>428603.60000000003</v>
      </c>
      <c r="X106" s="191">
        <f t="shared" si="76"/>
        <v>844723.60000000009</v>
      </c>
      <c r="Y106" s="380"/>
    </row>
    <row r="107" spans="1:25">
      <c r="A107" s="161">
        <f t="shared" si="62"/>
        <v>657</v>
      </c>
      <c r="B107" s="362" t="s">
        <v>1019</v>
      </c>
      <c r="D107" s="69">
        <v>743000</v>
      </c>
      <c r="E107" s="181"/>
      <c r="F107" s="162">
        <v>272000</v>
      </c>
      <c r="G107" s="162">
        <v>272000</v>
      </c>
      <c r="H107" s="163"/>
      <c r="I107" s="162"/>
      <c r="J107" s="162">
        <v>272000</v>
      </c>
      <c r="K107" s="162">
        <f t="shared" si="77"/>
        <v>272000</v>
      </c>
      <c r="L107" s="162"/>
      <c r="M107" s="164"/>
      <c r="N107" s="165"/>
      <c r="O107" s="165">
        <v>281000</v>
      </c>
      <c r="P107" s="165">
        <f t="shared" si="50"/>
        <v>281000</v>
      </c>
      <c r="Q107" s="592"/>
      <c r="R107" s="165">
        <f t="shared" si="51"/>
        <v>281000</v>
      </c>
      <c r="S107" s="164"/>
      <c r="T107" s="379">
        <v>289430</v>
      </c>
      <c r="U107" s="379"/>
      <c r="V107" s="53">
        <v>298112.90000000002</v>
      </c>
      <c r="W107" s="53">
        <f t="shared" si="75"/>
        <v>298112.90000000002</v>
      </c>
      <c r="X107" s="191">
        <f t="shared" si="76"/>
        <v>587542.9</v>
      </c>
      <c r="Y107" s="380"/>
    </row>
    <row r="108" spans="1:25" ht="27.95" customHeight="1">
      <c r="A108" s="161">
        <f t="shared" si="62"/>
        <v>658</v>
      </c>
      <c r="B108" s="362" t="s">
        <v>1020</v>
      </c>
      <c r="D108" s="69">
        <v>164000</v>
      </c>
      <c r="E108" s="181"/>
      <c r="F108" s="162">
        <v>59000</v>
      </c>
      <c r="G108" s="162">
        <v>44000</v>
      </c>
      <c r="H108" s="163" t="s">
        <v>1021</v>
      </c>
      <c r="I108" s="162"/>
      <c r="J108" s="162">
        <v>59000</v>
      </c>
      <c r="K108" s="162">
        <f t="shared" si="77"/>
        <v>59000</v>
      </c>
      <c r="L108" s="162"/>
      <c r="M108" s="164"/>
      <c r="N108" s="165"/>
      <c r="O108" s="165">
        <v>59000</v>
      </c>
      <c r="P108" s="165">
        <f t="shared" si="50"/>
        <v>59000</v>
      </c>
      <c r="Q108" s="592" t="s">
        <v>1022</v>
      </c>
      <c r="R108" s="165">
        <f t="shared" si="51"/>
        <v>59000</v>
      </c>
      <c r="S108" s="164"/>
      <c r="T108" s="379">
        <v>0</v>
      </c>
      <c r="U108" s="379"/>
      <c r="V108" s="53">
        <v>0</v>
      </c>
      <c r="W108" s="53">
        <f t="shared" si="75"/>
        <v>0</v>
      </c>
      <c r="X108" s="191">
        <f t="shared" si="76"/>
        <v>0</v>
      </c>
      <c r="Y108" s="380"/>
    </row>
    <row r="109" spans="1:25">
      <c r="A109" s="161">
        <f t="shared" si="62"/>
        <v>659</v>
      </c>
      <c r="B109" s="362" t="s">
        <v>1023</v>
      </c>
      <c r="D109" s="69">
        <v>1467000</v>
      </c>
      <c r="E109" s="181"/>
      <c r="F109" s="162">
        <v>460000</v>
      </c>
      <c r="G109" s="162">
        <v>460000</v>
      </c>
      <c r="H109" s="163"/>
      <c r="I109" s="162"/>
      <c r="J109" s="162">
        <v>460000</v>
      </c>
      <c r="K109" s="162">
        <f t="shared" si="77"/>
        <v>460000</v>
      </c>
      <c r="L109" s="162"/>
      <c r="M109" s="164"/>
      <c r="N109" s="165"/>
      <c r="O109" s="165">
        <v>470000</v>
      </c>
      <c r="P109" s="165">
        <f t="shared" si="50"/>
        <v>470000</v>
      </c>
      <c r="Q109" s="592"/>
      <c r="R109" s="165">
        <f t="shared" si="51"/>
        <v>470000</v>
      </c>
      <c r="S109" s="164"/>
      <c r="T109" s="379">
        <v>470000</v>
      </c>
      <c r="U109" s="379"/>
      <c r="V109" s="53">
        <v>470000</v>
      </c>
      <c r="W109" s="53">
        <f t="shared" si="75"/>
        <v>470000</v>
      </c>
      <c r="X109" s="191">
        <f t="shared" si="76"/>
        <v>940000</v>
      </c>
      <c r="Y109" s="380"/>
    </row>
    <row r="110" spans="1:25">
      <c r="A110" s="161">
        <f t="shared" si="62"/>
        <v>660</v>
      </c>
      <c r="B110" s="362" t="s">
        <v>964</v>
      </c>
      <c r="D110" s="69">
        <v>6000</v>
      </c>
      <c r="E110" s="181"/>
      <c r="F110" s="162">
        <v>2000</v>
      </c>
      <c r="G110" s="162">
        <v>2000</v>
      </c>
      <c r="H110" s="163"/>
      <c r="I110" s="162"/>
      <c r="J110" s="162">
        <v>2000</v>
      </c>
      <c r="K110" s="162">
        <f t="shared" si="77"/>
        <v>2000</v>
      </c>
      <c r="L110" s="162"/>
      <c r="M110" s="164"/>
      <c r="N110" s="165"/>
      <c r="O110" s="165">
        <v>2000</v>
      </c>
      <c r="P110" s="165">
        <f t="shared" si="50"/>
        <v>2000</v>
      </c>
      <c r="Q110" s="592"/>
      <c r="R110" s="165">
        <f t="shared" si="51"/>
        <v>2000</v>
      </c>
      <c r="S110" s="164"/>
      <c r="T110" s="379">
        <v>2000</v>
      </c>
      <c r="U110" s="379"/>
      <c r="V110" s="53">
        <v>2000</v>
      </c>
      <c r="W110" s="53">
        <f t="shared" si="75"/>
        <v>2000</v>
      </c>
      <c r="X110" s="191">
        <f t="shared" si="76"/>
        <v>4000</v>
      </c>
      <c r="Y110" s="380"/>
    </row>
    <row r="111" spans="1:25" ht="22.9" customHeight="1">
      <c r="A111" s="161">
        <f t="shared" si="62"/>
        <v>661</v>
      </c>
      <c r="B111" s="362" t="s">
        <v>1024</v>
      </c>
      <c r="D111" s="69">
        <v>6000</v>
      </c>
      <c r="E111" s="181"/>
      <c r="F111" s="162">
        <v>750000</v>
      </c>
      <c r="G111" s="162">
        <v>750000</v>
      </c>
      <c r="H111" s="163" t="s">
        <v>1025</v>
      </c>
      <c r="I111" s="162"/>
      <c r="J111" s="162">
        <v>0</v>
      </c>
      <c r="K111" s="162">
        <f t="shared" si="77"/>
        <v>0</v>
      </c>
      <c r="L111" s="162"/>
      <c r="M111" s="164"/>
      <c r="N111" s="165"/>
      <c r="O111" s="165">
        <v>0</v>
      </c>
      <c r="P111" s="165">
        <f t="shared" si="50"/>
        <v>0</v>
      </c>
      <c r="Q111" s="592" t="s">
        <v>1026</v>
      </c>
      <c r="R111" s="165">
        <f t="shared" si="51"/>
        <v>0</v>
      </c>
      <c r="S111" s="164"/>
      <c r="T111" s="379">
        <v>0</v>
      </c>
      <c r="U111" s="379"/>
      <c r="V111" s="53">
        <v>0</v>
      </c>
      <c r="W111" s="53">
        <f t="shared" si="75"/>
        <v>0</v>
      </c>
      <c r="X111" s="191">
        <f t="shared" si="76"/>
        <v>0</v>
      </c>
      <c r="Y111" s="380"/>
    </row>
    <row r="112" spans="1:25">
      <c r="A112" s="161">
        <f t="shared" si="62"/>
        <v>662</v>
      </c>
      <c r="B112" s="362" t="s">
        <v>1027</v>
      </c>
      <c r="D112" s="69">
        <v>12000</v>
      </c>
      <c r="E112" s="181"/>
      <c r="F112" s="162">
        <v>5000</v>
      </c>
      <c r="G112" s="162">
        <v>5000</v>
      </c>
      <c r="H112" s="163"/>
      <c r="I112" s="162"/>
      <c r="J112" s="162">
        <v>5000</v>
      </c>
      <c r="K112" s="162">
        <f t="shared" si="77"/>
        <v>5000</v>
      </c>
      <c r="L112" s="162"/>
      <c r="M112" s="164"/>
      <c r="N112" s="165"/>
      <c r="O112" s="165">
        <v>5000</v>
      </c>
      <c r="P112" s="165">
        <f t="shared" si="50"/>
        <v>5000</v>
      </c>
      <c r="Q112" s="592"/>
      <c r="R112" s="165">
        <f t="shared" si="51"/>
        <v>5000</v>
      </c>
      <c r="S112" s="164"/>
      <c r="T112" s="379">
        <v>5000</v>
      </c>
      <c r="U112" s="379"/>
      <c r="V112" s="53">
        <v>5000</v>
      </c>
      <c r="W112" s="53">
        <f t="shared" si="75"/>
        <v>5000</v>
      </c>
      <c r="X112" s="191">
        <f t="shared" si="76"/>
        <v>10000</v>
      </c>
      <c r="Y112" s="380"/>
    </row>
    <row r="113" spans="1:25" ht="47.25">
      <c r="A113" s="161">
        <f t="shared" si="62"/>
        <v>663</v>
      </c>
      <c r="B113" s="362" t="s">
        <v>1028</v>
      </c>
      <c r="D113" s="69">
        <v>68500</v>
      </c>
      <c r="E113" s="181"/>
      <c r="F113" s="162">
        <v>120000</v>
      </c>
      <c r="G113" s="162">
        <v>139000</v>
      </c>
      <c r="H113" s="163" t="s">
        <v>1029</v>
      </c>
      <c r="I113" s="162"/>
      <c r="J113" s="162">
        <v>120000</v>
      </c>
      <c r="K113" s="162">
        <f t="shared" si="77"/>
        <v>120000</v>
      </c>
      <c r="L113" s="162"/>
      <c r="M113" s="164"/>
      <c r="N113" s="165"/>
      <c r="O113" s="165">
        <v>125000</v>
      </c>
      <c r="P113" s="165">
        <f t="shared" si="50"/>
        <v>125000</v>
      </c>
      <c r="Q113" s="592" t="s">
        <v>1030</v>
      </c>
      <c r="R113" s="165">
        <f t="shared" si="51"/>
        <v>125000</v>
      </c>
      <c r="S113" s="164"/>
      <c r="T113" s="379">
        <v>125000</v>
      </c>
      <c r="U113" s="379"/>
      <c r="V113" s="53">
        <v>125000</v>
      </c>
      <c r="W113" s="53">
        <f t="shared" si="75"/>
        <v>125000</v>
      </c>
      <c r="X113" s="191">
        <f t="shared" si="76"/>
        <v>250000</v>
      </c>
      <c r="Y113" s="380"/>
    </row>
    <row r="114" spans="1:25">
      <c r="A114" s="161">
        <f t="shared" si="62"/>
        <v>664</v>
      </c>
      <c r="B114" s="362" t="s">
        <v>1031</v>
      </c>
      <c r="D114" s="69">
        <v>15000</v>
      </c>
      <c r="E114" s="181"/>
      <c r="F114" s="162">
        <v>5000</v>
      </c>
      <c r="G114" s="162">
        <v>5000</v>
      </c>
      <c r="H114" s="163"/>
      <c r="I114" s="162"/>
      <c r="J114" s="162">
        <v>5000</v>
      </c>
      <c r="K114" s="162">
        <f t="shared" si="77"/>
        <v>5000</v>
      </c>
      <c r="L114" s="162"/>
      <c r="M114" s="164"/>
      <c r="N114" s="165"/>
      <c r="O114" s="165">
        <v>5000</v>
      </c>
      <c r="P114" s="165">
        <f t="shared" si="50"/>
        <v>5000</v>
      </c>
      <c r="Q114" s="592"/>
      <c r="R114" s="165">
        <f t="shared" si="51"/>
        <v>5000</v>
      </c>
      <c r="S114" s="164"/>
      <c r="T114" s="379">
        <v>5000</v>
      </c>
      <c r="U114" s="379"/>
      <c r="V114" s="53">
        <v>5000</v>
      </c>
      <c r="W114" s="53">
        <f t="shared" si="75"/>
        <v>5000</v>
      </c>
      <c r="X114" s="191">
        <f t="shared" si="76"/>
        <v>10000</v>
      </c>
      <c r="Y114" s="380"/>
    </row>
    <row r="115" spans="1:25">
      <c r="A115" s="161">
        <f t="shared" si="62"/>
        <v>665</v>
      </c>
      <c r="B115" s="362" t="s">
        <v>1032</v>
      </c>
      <c r="D115" s="69">
        <v>45000</v>
      </c>
      <c r="E115" s="181"/>
      <c r="F115" s="162">
        <v>15000</v>
      </c>
      <c r="G115" s="162">
        <v>15000</v>
      </c>
      <c r="H115" s="163"/>
      <c r="I115" s="162"/>
      <c r="J115" s="162">
        <v>59000</v>
      </c>
      <c r="K115" s="162">
        <f t="shared" si="77"/>
        <v>59000</v>
      </c>
      <c r="L115" s="162"/>
      <c r="M115" s="164"/>
      <c r="N115" s="165"/>
      <c r="O115" s="165">
        <v>59000</v>
      </c>
      <c r="P115" s="165">
        <f t="shared" si="50"/>
        <v>59000</v>
      </c>
      <c r="Q115" s="592" t="s">
        <v>1033</v>
      </c>
      <c r="R115" s="165">
        <f t="shared" si="51"/>
        <v>59000</v>
      </c>
      <c r="S115" s="164"/>
      <c r="T115" s="379">
        <v>59000</v>
      </c>
      <c r="U115" s="379"/>
      <c r="V115" s="53">
        <v>59000</v>
      </c>
      <c r="W115" s="53">
        <f t="shared" si="75"/>
        <v>59000</v>
      </c>
      <c r="X115" s="191">
        <f t="shared" si="76"/>
        <v>118000</v>
      </c>
      <c r="Y115" s="380"/>
    </row>
    <row r="116" spans="1:25">
      <c r="A116" s="161">
        <f t="shared" si="62"/>
        <v>666</v>
      </c>
      <c r="B116" s="362" t="s">
        <v>1034</v>
      </c>
      <c r="D116" s="69">
        <v>4500</v>
      </c>
      <c r="E116" s="181"/>
      <c r="F116" s="162">
        <v>3500</v>
      </c>
      <c r="G116" s="162">
        <v>3500</v>
      </c>
      <c r="H116" s="163"/>
      <c r="I116" s="162"/>
      <c r="J116" s="162">
        <v>3500</v>
      </c>
      <c r="K116" s="162">
        <f t="shared" si="77"/>
        <v>3500</v>
      </c>
      <c r="L116" s="162"/>
      <c r="M116" s="164"/>
      <c r="N116" s="165"/>
      <c r="O116" s="165">
        <v>3500</v>
      </c>
      <c r="P116" s="165">
        <f t="shared" si="50"/>
        <v>3500</v>
      </c>
      <c r="Q116" s="592"/>
      <c r="R116" s="165">
        <f t="shared" si="51"/>
        <v>3500</v>
      </c>
      <c r="S116" s="164"/>
      <c r="T116" s="379">
        <v>3500</v>
      </c>
      <c r="U116" s="379"/>
      <c r="V116" s="53">
        <v>3500</v>
      </c>
      <c r="W116" s="53">
        <f t="shared" si="75"/>
        <v>3500</v>
      </c>
      <c r="X116" s="191">
        <f t="shared" si="76"/>
        <v>7000</v>
      </c>
      <c r="Y116" s="380"/>
    </row>
    <row r="117" spans="1:25">
      <c r="A117" s="161">
        <f t="shared" si="62"/>
        <v>667</v>
      </c>
      <c r="B117" s="362" t="s">
        <v>1035</v>
      </c>
      <c r="D117" s="69">
        <v>19500</v>
      </c>
      <c r="E117" s="181"/>
      <c r="F117" s="162">
        <v>6500</v>
      </c>
      <c r="G117" s="162">
        <v>6500</v>
      </c>
      <c r="H117" s="163"/>
      <c r="I117" s="162"/>
      <c r="J117" s="162">
        <v>6500</v>
      </c>
      <c r="K117" s="162">
        <f t="shared" si="77"/>
        <v>6500</v>
      </c>
      <c r="L117" s="162"/>
      <c r="M117" s="164"/>
      <c r="N117" s="165"/>
      <c r="O117" s="165">
        <v>6500</v>
      </c>
      <c r="P117" s="165">
        <f t="shared" si="50"/>
        <v>6500</v>
      </c>
      <c r="Q117" s="592"/>
      <c r="R117" s="165">
        <f t="shared" si="51"/>
        <v>6500</v>
      </c>
      <c r="S117" s="164"/>
      <c r="T117" s="379">
        <v>6500</v>
      </c>
      <c r="U117" s="379"/>
      <c r="V117" s="53">
        <v>6500</v>
      </c>
      <c r="W117" s="53">
        <f t="shared" si="75"/>
        <v>6500</v>
      </c>
      <c r="X117" s="191">
        <f t="shared" si="76"/>
        <v>13000</v>
      </c>
      <c r="Y117" s="380"/>
    </row>
    <row r="118" spans="1:25">
      <c r="A118" s="161">
        <f t="shared" si="62"/>
        <v>668</v>
      </c>
      <c r="B118" s="362" t="s">
        <v>1036</v>
      </c>
      <c r="D118" s="69">
        <v>12960</v>
      </c>
      <c r="E118" s="181"/>
      <c r="F118" s="162">
        <v>4320</v>
      </c>
      <c r="G118" s="162">
        <v>4320</v>
      </c>
      <c r="H118" s="163"/>
      <c r="I118" s="162"/>
      <c r="J118" s="162">
        <v>4320</v>
      </c>
      <c r="K118" s="162">
        <f t="shared" si="77"/>
        <v>4320</v>
      </c>
      <c r="L118" s="162"/>
      <c r="M118" s="164"/>
      <c r="N118" s="165"/>
      <c r="O118" s="165">
        <v>4320</v>
      </c>
      <c r="P118" s="165">
        <f t="shared" si="50"/>
        <v>4320</v>
      </c>
      <c r="Q118" s="592"/>
      <c r="R118" s="165">
        <f t="shared" si="51"/>
        <v>4320</v>
      </c>
      <c r="S118" s="164"/>
      <c r="T118" s="379">
        <v>4320</v>
      </c>
      <c r="U118" s="379"/>
      <c r="V118" s="53">
        <v>4320</v>
      </c>
      <c r="W118" s="53">
        <f t="shared" si="75"/>
        <v>4320</v>
      </c>
      <c r="X118" s="191">
        <f t="shared" si="76"/>
        <v>8640</v>
      </c>
      <c r="Y118" s="380"/>
    </row>
    <row r="119" spans="1:25" ht="31.5">
      <c r="A119" s="161">
        <f t="shared" si="62"/>
        <v>669</v>
      </c>
      <c r="B119" s="362" t="s">
        <v>1037</v>
      </c>
      <c r="D119" s="69">
        <v>125650</v>
      </c>
      <c r="E119" s="181"/>
      <c r="F119" s="162">
        <v>30000</v>
      </c>
      <c r="G119" s="162">
        <v>30000</v>
      </c>
      <c r="H119" s="163"/>
      <c r="I119" s="162"/>
      <c r="J119" s="162">
        <v>49900</v>
      </c>
      <c r="K119" s="162">
        <f t="shared" si="77"/>
        <v>49900</v>
      </c>
      <c r="L119" s="162"/>
      <c r="M119" s="164"/>
      <c r="N119" s="165"/>
      <c r="O119" s="165">
        <v>49900</v>
      </c>
      <c r="P119" s="165">
        <f t="shared" si="50"/>
        <v>49900</v>
      </c>
      <c r="Q119" s="592" t="s">
        <v>1038</v>
      </c>
      <c r="R119" s="165">
        <f t="shared" si="51"/>
        <v>49900</v>
      </c>
      <c r="S119" s="164"/>
      <c r="T119" s="379">
        <v>49900</v>
      </c>
      <c r="U119" s="379"/>
      <c r="V119" s="53">
        <v>49900</v>
      </c>
      <c r="W119" s="53">
        <f t="shared" si="75"/>
        <v>49900</v>
      </c>
      <c r="X119" s="191">
        <f t="shared" si="76"/>
        <v>99800</v>
      </c>
      <c r="Y119" s="380"/>
    </row>
    <row r="120" spans="1:25">
      <c r="A120" s="161">
        <f t="shared" si="62"/>
        <v>670</v>
      </c>
      <c r="B120" s="362" t="s">
        <v>1039</v>
      </c>
      <c r="D120" s="69">
        <v>118500</v>
      </c>
      <c r="E120" s="181"/>
      <c r="F120" s="162">
        <v>39500</v>
      </c>
      <c r="G120" s="162">
        <v>39500</v>
      </c>
      <c r="H120" s="163"/>
      <c r="I120" s="162"/>
      <c r="J120" s="162">
        <v>39500</v>
      </c>
      <c r="K120" s="162">
        <f t="shared" si="77"/>
        <v>39500</v>
      </c>
      <c r="L120" s="162"/>
      <c r="M120" s="164"/>
      <c r="N120" s="165"/>
      <c r="O120" s="165">
        <v>39500</v>
      </c>
      <c r="P120" s="165">
        <f t="shared" si="50"/>
        <v>39500</v>
      </c>
      <c r="Q120" s="592"/>
      <c r="R120" s="165">
        <f t="shared" si="51"/>
        <v>39500</v>
      </c>
      <c r="S120" s="164"/>
      <c r="T120" s="379">
        <v>39500</v>
      </c>
      <c r="U120" s="379"/>
      <c r="V120" s="53">
        <v>39500</v>
      </c>
      <c r="W120" s="53">
        <f t="shared" si="75"/>
        <v>39500</v>
      </c>
      <c r="X120" s="191">
        <f t="shared" si="76"/>
        <v>79000</v>
      </c>
      <c r="Y120" s="380"/>
    </row>
    <row r="121" spans="1:25">
      <c r="A121" s="161">
        <f t="shared" si="62"/>
        <v>671</v>
      </c>
      <c r="B121" s="362" t="s">
        <v>1040</v>
      </c>
      <c r="D121" s="69">
        <v>105000</v>
      </c>
      <c r="E121" s="181"/>
      <c r="F121" s="162">
        <v>35000</v>
      </c>
      <c r="G121" s="162">
        <v>35000</v>
      </c>
      <c r="H121" s="163"/>
      <c r="I121" s="162"/>
      <c r="J121" s="162">
        <v>35000</v>
      </c>
      <c r="K121" s="162">
        <f t="shared" si="77"/>
        <v>35000</v>
      </c>
      <c r="L121" s="162"/>
      <c r="M121" s="164"/>
      <c r="N121" s="165"/>
      <c r="O121" s="165">
        <v>35000</v>
      </c>
      <c r="P121" s="165">
        <f t="shared" si="50"/>
        <v>35000</v>
      </c>
      <c r="Q121" s="592"/>
      <c r="R121" s="165">
        <f t="shared" si="51"/>
        <v>35000</v>
      </c>
      <c r="S121" s="164"/>
      <c r="T121" s="379">
        <v>35000</v>
      </c>
      <c r="U121" s="379"/>
      <c r="V121" s="53">
        <v>35000</v>
      </c>
      <c r="W121" s="53">
        <f t="shared" si="75"/>
        <v>35000</v>
      </c>
      <c r="X121" s="191">
        <f t="shared" si="76"/>
        <v>70000</v>
      </c>
      <c r="Y121" s="380"/>
    </row>
    <row r="122" spans="1:25">
      <c r="A122" s="161">
        <f t="shared" si="62"/>
        <v>672</v>
      </c>
      <c r="B122" s="362" t="s">
        <v>1041</v>
      </c>
      <c r="D122" s="69">
        <v>20250</v>
      </c>
      <c r="E122" s="181"/>
      <c r="F122" s="162">
        <v>6750</v>
      </c>
      <c r="G122" s="162">
        <v>6750</v>
      </c>
      <c r="H122" s="163"/>
      <c r="I122" s="162"/>
      <c r="J122" s="162">
        <v>6750</v>
      </c>
      <c r="K122" s="162">
        <f t="shared" si="77"/>
        <v>6750</v>
      </c>
      <c r="L122" s="162"/>
      <c r="M122" s="164"/>
      <c r="N122" s="165"/>
      <c r="O122" s="165">
        <v>6750</v>
      </c>
      <c r="P122" s="165">
        <f t="shared" si="50"/>
        <v>6750</v>
      </c>
      <c r="Q122" s="592"/>
      <c r="R122" s="165">
        <f t="shared" si="51"/>
        <v>6750</v>
      </c>
      <c r="S122" s="164"/>
      <c r="T122" s="379">
        <v>6750</v>
      </c>
      <c r="U122" s="379"/>
      <c r="V122" s="53">
        <v>6750</v>
      </c>
      <c r="W122" s="53">
        <f t="shared" si="75"/>
        <v>6750</v>
      </c>
      <c r="X122" s="191">
        <f t="shared" si="76"/>
        <v>13500</v>
      </c>
      <c r="Y122" s="380"/>
    </row>
    <row r="123" spans="1:25">
      <c r="A123" s="161">
        <f t="shared" si="62"/>
        <v>673</v>
      </c>
      <c r="B123" s="362" t="s">
        <v>1042</v>
      </c>
      <c r="D123" s="69">
        <v>60000</v>
      </c>
      <c r="E123" s="181"/>
      <c r="F123" s="162">
        <v>20000</v>
      </c>
      <c r="G123" s="162">
        <v>20000</v>
      </c>
      <c r="H123" s="163"/>
      <c r="I123" s="162"/>
      <c r="J123" s="162">
        <v>20000</v>
      </c>
      <c r="K123" s="162">
        <f t="shared" si="77"/>
        <v>20000</v>
      </c>
      <c r="L123" s="162"/>
      <c r="M123" s="164"/>
      <c r="N123" s="165"/>
      <c r="O123" s="165">
        <v>20000</v>
      </c>
      <c r="P123" s="165">
        <f t="shared" si="50"/>
        <v>20000</v>
      </c>
      <c r="Q123" s="592"/>
      <c r="R123" s="165">
        <f t="shared" si="51"/>
        <v>20000</v>
      </c>
      <c r="S123" s="164"/>
      <c r="T123" s="379">
        <v>20000</v>
      </c>
      <c r="U123" s="379"/>
      <c r="V123" s="53">
        <v>20000</v>
      </c>
      <c r="W123" s="53">
        <f t="shared" si="75"/>
        <v>20000</v>
      </c>
      <c r="X123" s="191">
        <f t="shared" si="76"/>
        <v>40000</v>
      </c>
      <c r="Y123" s="380"/>
    </row>
    <row r="124" spans="1:25">
      <c r="A124" s="161">
        <f t="shared" si="62"/>
        <v>674</v>
      </c>
      <c r="B124" s="362" t="s">
        <v>1043</v>
      </c>
      <c r="D124" s="69">
        <v>315000</v>
      </c>
      <c r="E124" s="181"/>
      <c r="F124" s="162">
        <v>115000</v>
      </c>
      <c r="G124" s="162">
        <v>115000</v>
      </c>
      <c r="H124" s="163"/>
      <c r="I124" s="162"/>
      <c r="J124" s="162">
        <v>115000</v>
      </c>
      <c r="K124" s="162">
        <f t="shared" si="77"/>
        <v>115000</v>
      </c>
      <c r="L124" s="162"/>
      <c r="M124" s="164"/>
      <c r="N124" s="165"/>
      <c r="O124" s="165">
        <v>118000</v>
      </c>
      <c r="P124" s="165">
        <f t="shared" si="50"/>
        <v>118000</v>
      </c>
      <c r="Q124" s="592"/>
      <c r="R124" s="165">
        <f t="shared" si="51"/>
        <v>118000</v>
      </c>
      <c r="S124" s="164"/>
      <c r="T124" s="379">
        <v>118000</v>
      </c>
      <c r="U124" s="379"/>
      <c r="V124" s="53">
        <v>118000</v>
      </c>
      <c r="W124" s="53">
        <f t="shared" si="75"/>
        <v>118000</v>
      </c>
      <c r="X124" s="191">
        <f t="shared" si="76"/>
        <v>236000</v>
      </c>
      <c r="Y124" s="380"/>
    </row>
    <row r="125" spans="1:25">
      <c r="A125" s="161">
        <f t="shared" si="62"/>
        <v>675</v>
      </c>
      <c r="B125" s="362" t="s">
        <v>498</v>
      </c>
      <c r="D125" s="69">
        <v>18000</v>
      </c>
      <c r="E125" s="181"/>
      <c r="F125" s="162">
        <v>6000</v>
      </c>
      <c r="G125" s="162">
        <v>6000</v>
      </c>
      <c r="H125" s="163"/>
      <c r="I125" s="162"/>
      <c r="J125" s="162">
        <v>6000</v>
      </c>
      <c r="K125" s="162">
        <f t="shared" si="77"/>
        <v>6000</v>
      </c>
      <c r="L125" s="162"/>
      <c r="M125" s="164"/>
      <c r="N125" s="165"/>
      <c r="O125" s="165">
        <v>6000</v>
      </c>
      <c r="P125" s="165">
        <f t="shared" si="50"/>
        <v>6000</v>
      </c>
      <c r="Q125" s="592"/>
      <c r="R125" s="165">
        <f t="shared" si="51"/>
        <v>6000</v>
      </c>
      <c r="S125" s="164"/>
      <c r="T125" s="379">
        <v>6000</v>
      </c>
      <c r="U125" s="379"/>
      <c r="V125" s="53">
        <v>6000</v>
      </c>
      <c r="W125" s="53">
        <f t="shared" si="75"/>
        <v>6000</v>
      </c>
      <c r="X125" s="191">
        <f t="shared" si="76"/>
        <v>12000</v>
      </c>
      <c r="Y125" s="380"/>
    </row>
    <row r="126" spans="1:25" ht="47.25">
      <c r="A126" s="161">
        <f t="shared" si="62"/>
        <v>676</v>
      </c>
      <c r="B126" s="362" t="s">
        <v>1044</v>
      </c>
      <c r="D126" s="69">
        <v>27500</v>
      </c>
      <c r="E126" s="181"/>
      <c r="F126" s="162">
        <v>44000</v>
      </c>
      <c r="G126" s="162">
        <v>44000</v>
      </c>
      <c r="H126" s="163"/>
      <c r="I126" s="162"/>
      <c r="J126" s="162">
        <v>0</v>
      </c>
      <c r="K126" s="162">
        <f t="shared" si="77"/>
        <v>0</v>
      </c>
      <c r="L126" s="162"/>
      <c r="M126" s="164"/>
      <c r="N126" s="165"/>
      <c r="O126" s="165">
        <v>470000</v>
      </c>
      <c r="P126" s="165">
        <f t="shared" si="50"/>
        <v>470000</v>
      </c>
      <c r="Q126" s="592" t="s">
        <v>1045</v>
      </c>
      <c r="R126" s="165">
        <f t="shared" si="51"/>
        <v>470000</v>
      </c>
      <c r="S126" s="164"/>
      <c r="T126" s="379"/>
      <c r="U126" s="379"/>
      <c r="V126" s="53">
        <v>0</v>
      </c>
      <c r="W126" s="53">
        <f t="shared" si="75"/>
        <v>0</v>
      </c>
      <c r="X126" s="191">
        <f t="shared" si="76"/>
        <v>0</v>
      </c>
      <c r="Y126" s="380" t="s">
        <v>1046</v>
      </c>
    </row>
    <row r="127" spans="1:25">
      <c r="A127" s="161">
        <f t="shared" si="62"/>
        <v>677</v>
      </c>
      <c r="B127" s="362" t="s">
        <v>1047</v>
      </c>
      <c r="D127" s="69">
        <v>40000</v>
      </c>
      <c r="E127" s="181"/>
      <c r="F127" s="162"/>
      <c r="G127" s="162"/>
      <c r="H127" s="163"/>
      <c r="I127" s="162"/>
      <c r="J127" s="162">
        <v>0</v>
      </c>
      <c r="K127" s="162">
        <f t="shared" si="77"/>
        <v>0</v>
      </c>
      <c r="L127" s="162"/>
      <c r="M127" s="164"/>
      <c r="N127" s="165"/>
      <c r="O127" s="165">
        <v>32000</v>
      </c>
      <c r="P127" s="165">
        <f t="shared" si="50"/>
        <v>32000</v>
      </c>
      <c r="Q127" s="592" t="s">
        <v>1048</v>
      </c>
      <c r="R127" s="165">
        <f t="shared" si="51"/>
        <v>32000</v>
      </c>
      <c r="S127" s="164"/>
      <c r="T127" s="379"/>
      <c r="U127" s="379"/>
      <c r="V127" s="53">
        <v>0</v>
      </c>
      <c r="W127" s="53">
        <f t="shared" si="75"/>
        <v>0</v>
      </c>
      <c r="X127" s="191">
        <f t="shared" si="76"/>
        <v>0</v>
      </c>
      <c r="Y127" s="380"/>
    </row>
    <row r="128" spans="1:25">
      <c r="A128" s="161">
        <f t="shared" si="62"/>
        <v>678</v>
      </c>
      <c r="B128" s="362" t="s">
        <v>1049</v>
      </c>
      <c r="D128" s="69">
        <v>48000</v>
      </c>
      <c r="E128" s="181"/>
      <c r="F128" s="162">
        <v>24000</v>
      </c>
      <c r="G128" s="162">
        <v>24000</v>
      </c>
      <c r="H128" s="611"/>
      <c r="I128" s="162"/>
      <c r="J128" s="162">
        <v>0</v>
      </c>
      <c r="K128" s="162">
        <f t="shared" si="77"/>
        <v>0</v>
      </c>
      <c r="L128" s="162"/>
      <c r="M128" s="164"/>
      <c r="N128" s="165"/>
      <c r="O128" s="165"/>
      <c r="P128" s="165">
        <f t="shared" si="50"/>
        <v>0</v>
      </c>
      <c r="Q128" s="592"/>
      <c r="R128" s="165">
        <f t="shared" si="51"/>
        <v>0</v>
      </c>
      <c r="S128" s="164"/>
      <c r="T128" s="379"/>
      <c r="U128" s="379"/>
      <c r="V128" s="53">
        <f t="shared" si="75"/>
        <v>0</v>
      </c>
      <c r="W128" s="53">
        <f t="shared" si="75"/>
        <v>0</v>
      </c>
      <c r="X128" s="191">
        <f t="shared" si="76"/>
        <v>0</v>
      </c>
      <c r="Y128" s="380"/>
    </row>
    <row r="129" spans="1:25" s="598" customFormat="1">
      <c r="A129" s="597">
        <f t="shared" si="62"/>
        <v>679</v>
      </c>
      <c r="B129" s="598" t="s">
        <v>1050</v>
      </c>
      <c r="C129" s="600">
        <f>SUM(C103:C128)</f>
        <v>5502984.5499999998</v>
      </c>
      <c r="D129" s="600">
        <f>SUM(D103:D128)</f>
        <v>5940360</v>
      </c>
      <c r="E129" s="600">
        <v>2196240</v>
      </c>
      <c r="F129" s="600">
        <f t="shared" ref="F129:K129" si="78">SUM(F103:F128)</f>
        <v>2921570</v>
      </c>
      <c r="G129" s="600">
        <f t="shared" si="78"/>
        <v>2925570</v>
      </c>
      <c r="H129" s="182"/>
      <c r="I129" s="600">
        <f t="shared" si="78"/>
        <v>0</v>
      </c>
      <c r="J129" s="600">
        <f t="shared" si="78"/>
        <v>2268070</v>
      </c>
      <c r="K129" s="600">
        <f t="shared" si="78"/>
        <v>2268070</v>
      </c>
      <c r="L129" s="600">
        <f>E129+G129+K129</f>
        <v>7389880</v>
      </c>
      <c r="M129" s="602"/>
      <c r="N129" s="603">
        <f t="shared" ref="N129:P129" si="79">SUM(N103:N128)</f>
        <v>0</v>
      </c>
      <c r="O129" s="603">
        <f t="shared" si="79"/>
        <v>2816430</v>
      </c>
      <c r="P129" s="603">
        <f t="shared" si="79"/>
        <v>2816430</v>
      </c>
      <c r="Q129" s="604"/>
      <c r="R129" s="603">
        <f t="shared" si="51"/>
        <v>2816430</v>
      </c>
      <c r="S129" s="602"/>
      <c r="T129" s="605">
        <f t="shared" ref="T129:X129" si="80">SUM(T103:T128)</f>
        <v>2187380</v>
      </c>
      <c r="U129" s="605">
        <f t="shared" si="80"/>
        <v>0</v>
      </c>
      <c r="V129" s="605">
        <f t="shared" si="80"/>
        <v>2214546.5</v>
      </c>
      <c r="W129" s="605">
        <f t="shared" si="80"/>
        <v>2214546.5</v>
      </c>
      <c r="X129" s="629">
        <f t="shared" si="80"/>
        <v>4401926.5</v>
      </c>
      <c r="Y129" s="630"/>
    </row>
    <row r="130" spans="1:25">
      <c r="A130" s="161">
        <f t="shared" si="62"/>
        <v>680</v>
      </c>
      <c r="E130" s="181"/>
      <c r="F130" s="162"/>
      <c r="G130" s="162"/>
      <c r="H130" s="163"/>
      <c r="I130" s="162"/>
      <c r="J130" s="162"/>
      <c r="K130" s="162"/>
      <c r="L130" s="162"/>
      <c r="M130" s="164"/>
      <c r="N130" s="165"/>
      <c r="O130" s="165"/>
      <c r="P130" s="165">
        <f t="shared" si="50"/>
        <v>0</v>
      </c>
      <c r="Q130" s="592"/>
      <c r="R130" s="165">
        <f t="shared" si="51"/>
        <v>0</v>
      </c>
      <c r="S130" s="164"/>
      <c r="T130" s="379"/>
      <c r="U130" s="379"/>
      <c r="V130" s="379"/>
      <c r="W130" s="379"/>
      <c r="X130" s="191"/>
      <c r="Y130" s="380"/>
    </row>
    <row r="131" spans="1:25">
      <c r="A131" s="161">
        <f t="shared" si="62"/>
        <v>681</v>
      </c>
      <c r="B131" s="362" t="s">
        <v>1051</v>
      </c>
      <c r="C131" s="69">
        <v>283084.92921300005</v>
      </c>
      <c r="E131" s="181"/>
      <c r="F131" s="162"/>
      <c r="G131" s="162"/>
      <c r="H131" s="163"/>
      <c r="I131" s="162"/>
      <c r="J131" s="162"/>
      <c r="K131" s="162"/>
      <c r="L131" s="162"/>
      <c r="M131" s="164"/>
      <c r="N131" s="165"/>
      <c r="O131" s="165"/>
      <c r="P131" s="165">
        <f t="shared" si="50"/>
        <v>0</v>
      </c>
      <c r="Q131" s="592"/>
      <c r="R131" s="165">
        <f t="shared" si="51"/>
        <v>0</v>
      </c>
      <c r="S131" s="164"/>
      <c r="T131" s="379"/>
      <c r="U131" s="379"/>
      <c r="V131" s="53">
        <f t="shared" ref="V131:W136" si="81">T131+U131</f>
        <v>0</v>
      </c>
      <c r="W131" s="53">
        <f t="shared" si="81"/>
        <v>0</v>
      </c>
      <c r="X131" s="191">
        <f t="shared" ref="X131:X136" si="82">T131+W131</f>
        <v>0</v>
      </c>
      <c r="Y131" s="380"/>
    </row>
    <row r="132" spans="1:25">
      <c r="A132" s="161">
        <f t="shared" si="62"/>
        <v>682</v>
      </c>
      <c r="B132" s="362" t="s">
        <v>1052</v>
      </c>
      <c r="D132" s="69">
        <v>40284</v>
      </c>
      <c r="E132" s="181"/>
      <c r="F132" s="162">
        <v>15964</v>
      </c>
      <c r="G132" s="162">
        <v>15964</v>
      </c>
      <c r="H132" s="163"/>
      <c r="I132" s="162"/>
      <c r="J132" s="162">
        <v>15964</v>
      </c>
      <c r="K132" s="162">
        <f>J132</f>
        <v>15964</v>
      </c>
      <c r="L132" s="162"/>
      <c r="M132" s="164"/>
      <c r="N132" s="165"/>
      <c r="O132" s="165">
        <v>15964</v>
      </c>
      <c r="P132" s="165">
        <f t="shared" si="50"/>
        <v>15964</v>
      </c>
      <c r="Q132" s="592"/>
      <c r="R132" s="165">
        <f t="shared" si="51"/>
        <v>15964</v>
      </c>
      <c r="S132" s="164"/>
      <c r="T132" s="379">
        <v>15964</v>
      </c>
      <c r="U132" s="379"/>
      <c r="V132" s="53">
        <f t="shared" si="81"/>
        <v>15964</v>
      </c>
      <c r="W132" s="53">
        <f t="shared" si="81"/>
        <v>15964</v>
      </c>
      <c r="X132" s="191">
        <f t="shared" si="82"/>
        <v>31928</v>
      </c>
      <c r="Y132" s="380"/>
    </row>
    <row r="133" spans="1:25" ht="31.5">
      <c r="A133" s="161">
        <f t="shared" si="62"/>
        <v>683</v>
      </c>
      <c r="B133" s="362" t="s">
        <v>1053</v>
      </c>
      <c r="D133" s="69">
        <v>110000</v>
      </c>
      <c r="E133" s="181"/>
      <c r="F133" s="162">
        <v>105000</v>
      </c>
      <c r="G133" s="162"/>
      <c r="H133" s="163"/>
      <c r="I133" s="162">
        <v>20000</v>
      </c>
      <c r="J133" s="162">
        <v>105000</v>
      </c>
      <c r="K133" s="162">
        <f t="shared" ref="K133:K135" si="83">J133</f>
        <v>105000</v>
      </c>
      <c r="L133" s="162"/>
      <c r="M133" s="164"/>
      <c r="N133" s="165">
        <v>20000</v>
      </c>
      <c r="O133" s="165">
        <v>105000</v>
      </c>
      <c r="P133" s="165">
        <f t="shared" si="50"/>
        <v>125000</v>
      </c>
      <c r="Q133" s="592" t="s">
        <v>1054</v>
      </c>
      <c r="R133" s="165">
        <f t="shared" si="51"/>
        <v>125000</v>
      </c>
      <c r="S133" s="164"/>
      <c r="T133" s="379">
        <v>105000</v>
      </c>
      <c r="U133" s="379">
        <v>20000</v>
      </c>
      <c r="V133" s="53">
        <f t="shared" si="81"/>
        <v>125000</v>
      </c>
      <c r="W133" s="53">
        <f t="shared" si="81"/>
        <v>145000</v>
      </c>
      <c r="X133" s="191">
        <f t="shared" si="82"/>
        <v>250000</v>
      </c>
      <c r="Y133" s="380" t="s">
        <v>1055</v>
      </c>
    </row>
    <row r="134" spans="1:25">
      <c r="A134" s="161">
        <f t="shared" si="62"/>
        <v>684</v>
      </c>
      <c r="B134" s="362" t="s">
        <v>1056</v>
      </c>
      <c r="D134" s="69">
        <v>10350</v>
      </c>
      <c r="E134" s="181"/>
      <c r="F134" s="162">
        <v>3450</v>
      </c>
      <c r="G134" s="162">
        <v>3450</v>
      </c>
      <c r="H134" s="163"/>
      <c r="I134" s="162"/>
      <c r="J134" s="162">
        <v>3450</v>
      </c>
      <c r="K134" s="162">
        <f t="shared" si="83"/>
        <v>3450</v>
      </c>
      <c r="L134" s="162"/>
      <c r="M134" s="164"/>
      <c r="N134" s="165"/>
      <c r="O134" s="165">
        <v>3450</v>
      </c>
      <c r="P134" s="165">
        <f t="shared" si="50"/>
        <v>3450</v>
      </c>
      <c r="Q134" s="592"/>
      <c r="R134" s="165">
        <f t="shared" si="51"/>
        <v>3450</v>
      </c>
      <c r="S134" s="164"/>
      <c r="T134" s="379">
        <v>3450</v>
      </c>
      <c r="U134" s="379"/>
      <c r="V134" s="53">
        <f t="shared" si="81"/>
        <v>3450</v>
      </c>
      <c r="W134" s="53">
        <f t="shared" si="81"/>
        <v>3450</v>
      </c>
      <c r="X134" s="191">
        <f t="shared" si="82"/>
        <v>6900</v>
      </c>
      <c r="Y134" s="380"/>
    </row>
    <row r="135" spans="1:25">
      <c r="A135" s="161">
        <f t="shared" si="62"/>
        <v>685</v>
      </c>
      <c r="B135" s="362" t="s">
        <v>964</v>
      </c>
      <c r="D135" s="69">
        <v>7800</v>
      </c>
      <c r="E135" s="181"/>
      <c r="F135" s="162">
        <v>2600</v>
      </c>
      <c r="G135" s="162">
        <v>2600</v>
      </c>
      <c r="H135" s="163"/>
      <c r="I135" s="162"/>
      <c r="J135" s="162">
        <v>2600</v>
      </c>
      <c r="K135" s="162">
        <f t="shared" si="83"/>
        <v>2600</v>
      </c>
      <c r="L135" s="162"/>
      <c r="M135" s="164"/>
      <c r="N135" s="165"/>
      <c r="O135" s="165">
        <v>2600</v>
      </c>
      <c r="P135" s="165">
        <f t="shared" ref="P135:P148" si="84">N135+O135</f>
        <v>2600</v>
      </c>
      <c r="Q135" s="592"/>
      <c r="R135" s="165">
        <f t="shared" si="51"/>
        <v>2600</v>
      </c>
      <c r="S135" s="164"/>
      <c r="T135" s="379">
        <v>2600</v>
      </c>
      <c r="U135" s="379"/>
      <c r="V135" s="53">
        <f t="shared" si="81"/>
        <v>2600</v>
      </c>
      <c r="W135" s="53">
        <f t="shared" si="81"/>
        <v>2600</v>
      </c>
      <c r="X135" s="191">
        <f t="shared" si="82"/>
        <v>5200</v>
      </c>
      <c r="Y135" s="380"/>
    </row>
    <row r="136" spans="1:25">
      <c r="A136" s="161" t="s">
        <v>1057</v>
      </c>
      <c r="B136" s="362" t="s">
        <v>876</v>
      </c>
      <c r="E136" s="181"/>
      <c r="F136" s="162"/>
      <c r="G136" s="162"/>
      <c r="H136" s="163"/>
      <c r="I136" s="162"/>
      <c r="J136" s="162"/>
      <c r="K136" s="162"/>
      <c r="L136" s="162"/>
      <c r="M136" s="164"/>
      <c r="N136" s="165"/>
      <c r="O136" s="165"/>
      <c r="P136" s="165">
        <f t="shared" si="84"/>
        <v>0</v>
      </c>
      <c r="Q136" s="592"/>
      <c r="R136" s="165">
        <f t="shared" ref="R136:R149" si="85">P136</f>
        <v>0</v>
      </c>
      <c r="S136" s="164"/>
      <c r="T136" s="379"/>
      <c r="U136" s="379"/>
      <c r="V136" s="53">
        <f t="shared" si="81"/>
        <v>0</v>
      </c>
      <c r="W136" s="53">
        <f t="shared" si="81"/>
        <v>0</v>
      </c>
      <c r="X136" s="191">
        <f t="shared" si="82"/>
        <v>0</v>
      </c>
      <c r="Y136" s="380"/>
    </row>
    <row r="137" spans="1:25" s="598" customFormat="1">
      <c r="A137" s="597">
        <f>A135+1</f>
        <v>686</v>
      </c>
      <c r="B137" s="598" t="s">
        <v>1058</v>
      </c>
      <c r="C137" s="600">
        <f>SUM(C131:C135)</f>
        <v>283084.92921300005</v>
      </c>
      <c r="D137" s="600">
        <v>168434</v>
      </c>
      <c r="E137" s="600">
        <v>41977</v>
      </c>
      <c r="F137" s="600">
        <f t="shared" ref="F137:I137" si="86">SUM(F131:F135)</f>
        <v>127014</v>
      </c>
      <c r="G137" s="600">
        <f t="shared" si="86"/>
        <v>22014</v>
      </c>
      <c r="H137" s="601"/>
      <c r="I137" s="600">
        <f t="shared" si="86"/>
        <v>20000</v>
      </c>
      <c r="J137" s="600">
        <f>SUM(J131:J136)</f>
        <v>127014</v>
      </c>
      <c r="K137" s="600">
        <f>SUM(K131:K136)</f>
        <v>127014</v>
      </c>
      <c r="L137" s="600">
        <f>E137+G137+K137</f>
        <v>191005</v>
      </c>
      <c r="M137" s="602"/>
      <c r="N137" s="603">
        <f t="shared" ref="N137:P137" si="87">SUM(N131:N135)</f>
        <v>20000</v>
      </c>
      <c r="O137" s="603">
        <f t="shared" si="87"/>
        <v>127014</v>
      </c>
      <c r="P137" s="603">
        <f t="shared" si="87"/>
        <v>147014</v>
      </c>
      <c r="Q137" s="604"/>
      <c r="R137" s="603">
        <f t="shared" si="85"/>
        <v>147014</v>
      </c>
      <c r="S137" s="602"/>
      <c r="T137" s="605">
        <f t="shared" ref="T137:X137" si="88">SUM(T131:T135)</f>
        <v>127014</v>
      </c>
      <c r="U137" s="605">
        <f t="shared" si="88"/>
        <v>20000</v>
      </c>
      <c r="V137" s="605">
        <f t="shared" si="88"/>
        <v>147014</v>
      </c>
      <c r="W137" s="605">
        <f t="shared" si="88"/>
        <v>167014</v>
      </c>
      <c r="X137" s="605">
        <f t="shared" si="88"/>
        <v>294028</v>
      </c>
      <c r="Y137" s="630"/>
    </row>
    <row r="138" spans="1:25">
      <c r="A138" s="161">
        <f t="shared" si="62"/>
        <v>687</v>
      </c>
      <c r="E138" s="181"/>
      <c r="F138" s="162"/>
      <c r="G138" s="162"/>
      <c r="H138" s="163"/>
      <c r="I138" s="162"/>
      <c r="J138" s="162"/>
      <c r="K138" s="162"/>
      <c r="L138" s="162"/>
      <c r="M138" s="164"/>
      <c r="N138" s="165"/>
      <c r="O138" s="165"/>
      <c r="P138" s="165">
        <f t="shared" si="84"/>
        <v>0</v>
      </c>
      <c r="Q138" s="592"/>
      <c r="R138" s="165">
        <f t="shared" si="85"/>
        <v>0</v>
      </c>
      <c r="S138" s="164"/>
      <c r="T138" s="379"/>
      <c r="U138" s="379"/>
      <c r="V138" s="379"/>
      <c r="W138" s="379"/>
      <c r="X138" s="379"/>
      <c r="Y138" s="380"/>
    </row>
    <row r="139" spans="1:25">
      <c r="A139" s="161">
        <f t="shared" si="62"/>
        <v>688</v>
      </c>
      <c r="B139" s="362" t="s">
        <v>1059</v>
      </c>
      <c r="C139" s="69">
        <f>445707.78-150000</f>
        <v>295707.78000000003</v>
      </c>
      <c r="E139" s="181"/>
      <c r="F139" s="162"/>
      <c r="G139" s="162"/>
      <c r="H139" s="163"/>
      <c r="I139" s="162"/>
      <c r="J139" s="162"/>
      <c r="K139" s="162"/>
      <c r="L139" s="162"/>
      <c r="M139" s="164"/>
      <c r="N139" s="165"/>
      <c r="O139" s="165"/>
      <c r="P139" s="165">
        <f t="shared" si="84"/>
        <v>0</v>
      </c>
      <c r="Q139" s="592"/>
      <c r="R139" s="165">
        <f t="shared" si="85"/>
        <v>0</v>
      </c>
      <c r="S139" s="164"/>
      <c r="T139" s="379"/>
      <c r="U139" s="379"/>
      <c r="V139" s="379"/>
      <c r="W139" s="379"/>
      <c r="X139" s="379"/>
      <c r="Y139" s="380"/>
    </row>
    <row r="140" spans="1:25">
      <c r="A140" s="161">
        <f t="shared" si="62"/>
        <v>689</v>
      </c>
      <c r="B140" s="362" t="s">
        <v>1052</v>
      </c>
      <c r="D140" s="69">
        <v>84000</v>
      </c>
      <c r="E140" s="181"/>
      <c r="F140" s="162">
        <v>28000</v>
      </c>
      <c r="G140" s="162">
        <v>28000</v>
      </c>
      <c r="H140" s="163"/>
      <c r="I140" s="162">
        <v>4000</v>
      </c>
      <c r="J140" s="162">
        <v>18000</v>
      </c>
      <c r="K140" s="162">
        <f>J140</f>
        <v>18000</v>
      </c>
      <c r="L140" s="162"/>
      <c r="M140" s="164"/>
      <c r="N140" s="165">
        <v>4000</v>
      </c>
      <c r="O140" s="165">
        <v>18000</v>
      </c>
      <c r="P140" s="165">
        <f t="shared" si="84"/>
        <v>22000</v>
      </c>
      <c r="Q140" s="592"/>
      <c r="R140" s="165">
        <f t="shared" si="85"/>
        <v>22000</v>
      </c>
      <c r="S140" s="164"/>
      <c r="T140" s="379">
        <v>18000</v>
      </c>
      <c r="U140" s="379"/>
      <c r="V140" s="53">
        <f t="shared" ref="V140:W141" si="89">T140+U140</f>
        <v>18000</v>
      </c>
      <c r="W140" s="53">
        <f t="shared" si="89"/>
        <v>18000</v>
      </c>
      <c r="X140" s="191">
        <f t="shared" ref="X140:X141" si="90">T140+W140</f>
        <v>36000</v>
      </c>
      <c r="Y140" s="380"/>
    </row>
    <row r="141" spans="1:25" ht="24" customHeight="1">
      <c r="A141" s="161">
        <f t="shared" si="62"/>
        <v>690</v>
      </c>
      <c r="B141" s="362" t="s">
        <v>1060</v>
      </c>
      <c r="D141" s="69">
        <v>54000</v>
      </c>
      <c r="E141" s="181"/>
      <c r="F141" s="162">
        <v>118000</v>
      </c>
      <c r="G141" s="162">
        <v>94400</v>
      </c>
      <c r="H141" s="163" t="s">
        <v>1061</v>
      </c>
      <c r="I141" s="162">
        <v>9000</v>
      </c>
      <c r="J141" s="162">
        <v>9000</v>
      </c>
      <c r="K141" s="162">
        <f>J141</f>
        <v>9000</v>
      </c>
      <c r="L141" s="162"/>
      <c r="M141" s="164"/>
      <c r="N141" s="165">
        <v>9000</v>
      </c>
      <c r="O141" s="165">
        <v>9000</v>
      </c>
      <c r="P141" s="165">
        <f t="shared" si="84"/>
        <v>18000</v>
      </c>
      <c r="Q141" s="592"/>
      <c r="R141" s="165">
        <f t="shared" si="85"/>
        <v>18000</v>
      </c>
      <c r="S141" s="164"/>
      <c r="T141" s="379">
        <v>15000</v>
      </c>
      <c r="U141" s="379"/>
      <c r="V141" s="53">
        <f t="shared" si="89"/>
        <v>15000</v>
      </c>
      <c r="W141" s="53">
        <f t="shared" si="89"/>
        <v>15000</v>
      </c>
      <c r="X141" s="191">
        <f t="shared" si="90"/>
        <v>30000</v>
      </c>
      <c r="Y141" s="380"/>
    </row>
    <row r="142" spans="1:25" s="598" customFormat="1">
      <c r="A142" s="597">
        <f t="shared" si="62"/>
        <v>691</v>
      </c>
      <c r="B142" s="598" t="s">
        <v>1062</v>
      </c>
      <c r="C142" s="599">
        <f>SUM(C139:C141)</f>
        <v>295707.78000000003</v>
      </c>
      <c r="D142" s="599">
        <v>138000</v>
      </c>
      <c r="E142" s="599">
        <v>46736</v>
      </c>
      <c r="F142" s="599">
        <f t="shared" ref="F142:K142" si="91">SUM(F139:F141)</f>
        <v>146000</v>
      </c>
      <c r="G142" s="599">
        <f t="shared" si="91"/>
        <v>122400</v>
      </c>
      <c r="H142" s="631"/>
      <c r="I142" s="599">
        <f t="shared" si="91"/>
        <v>13000</v>
      </c>
      <c r="J142" s="599">
        <f t="shared" si="91"/>
        <v>27000</v>
      </c>
      <c r="K142" s="599">
        <f t="shared" si="91"/>
        <v>27000</v>
      </c>
      <c r="L142" s="599">
        <f>E142+G142+K142</f>
        <v>196136</v>
      </c>
      <c r="M142" s="632"/>
      <c r="N142" s="633">
        <f t="shared" ref="N142:P142" si="92">SUM(N139:N141)</f>
        <v>13000</v>
      </c>
      <c r="O142" s="633">
        <f t="shared" si="92"/>
        <v>27000</v>
      </c>
      <c r="P142" s="633">
        <f t="shared" si="92"/>
        <v>40000</v>
      </c>
      <c r="Q142" s="604"/>
      <c r="R142" s="633">
        <f t="shared" si="85"/>
        <v>40000</v>
      </c>
      <c r="S142" s="632"/>
      <c r="T142" s="634">
        <f t="shared" ref="T142:X142" si="93">SUM(T139:T141)</f>
        <v>33000</v>
      </c>
      <c r="U142" s="634">
        <f t="shared" si="93"/>
        <v>0</v>
      </c>
      <c r="V142" s="634">
        <f t="shared" si="93"/>
        <v>33000</v>
      </c>
      <c r="W142" s="634">
        <f t="shared" si="93"/>
        <v>33000</v>
      </c>
      <c r="X142" s="634">
        <f t="shared" si="93"/>
        <v>66000</v>
      </c>
      <c r="Y142" s="630"/>
    </row>
    <row r="143" spans="1:25">
      <c r="A143" s="161">
        <f t="shared" si="62"/>
        <v>692</v>
      </c>
      <c r="B143" s="362" t="s">
        <v>428</v>
      </c>
      <c r="D143" s="69">
        <v>0</v>
      </c>
      <c r="E143" s="181"/>
      <c r="F143" s="162"/>
      <c r="G143" s="162">
        <v>0</v>
      </c>
      <c r="H143" s="163"/>
      <c r="I143" s="162"/>
      <c r="J143" s="162"/>
      <c r="K143" s="162"/>
      <c r="L143" s="162"/>
      <c r="M143" s="164"/>
      <c r="N143" s="165"/>
      <c r="O143" s="165"/>
      <c r="P143" s="165">
        <f t="shared" si="84"/>
        <v>0</v>
      </c>
      <c r="Q143" s="592"/>
      <c r="R143" s="165">
        <f t="shared" si="85"/>
        <v>0</v>
      </c>
      <c r="S143" s="164"/>
      <c r="T143" s="379"/>
      <c r="U143" s="379"/>
      <c r="V143" s="379"/>
      <c r="W143" s="379"/>
      <c r="X143" s="379"/>
      <c r="Y143" s="380"/>
    </row>
    <row r="144" spans="1:25">
      <c r="A144" s="161" t="s">
        <v>1063</v>
      </c>
      <c r="B144" s="362" t="s">
        <v>876</v>
      </c>
      <c r="E144" s="181"/>
      <c r="F144" s="162"/>
      <c r="G144" s="162"/>
      <c r="H144" s="163"/>
      <c r="I144" s="162"/>
      <c r="J144" s="162"/>
      <c r="K144" s="162">
        <v>33000</v>
      </c>
      <c r="L144" s="162">
        <f>E144+G144+K144</f>
        <v>33000</v>
      </c>
      <c r="M144" s="164"/>
      <c r="N144" s="165"/>
      <c r="O144" s="165"/>
      <c r="P144" s="165">
        <f t="shared" si="84"/>
        <v>0</v>
      </c>
      <c r="Q144" s="592"/>
      <c r="R144" s="165">
        <f t="shared" si="85"/>
        <v>0</v>
      </c>
      <c r="S144" s="164"/>
      <c r="T144" s="379"/>
      <c r="U144" s="379"/>
      <c r="V144" s="379"/>
      <c r="W144" s="379"/>
      <c r="X144" s="379"/>
      <c r="Y144" s="380"/>
    </row>
    <row r="145" spans="1:25">
      <c r="A145" s="161">
        <f>A143+1</f>
        <v>693</v>
      </c>
      <c r="B145" s="362" t="s">
        <v>181</v>
      </c>
      <c r="C145" s="69">
        <f>'[4]Salary Summary GC Adopted'!Y19</f>
        <v>1049260.6503875111</v>
      </c>
      <c r="D145" s="69">
        <v>1167814.7322091702</v>
      </c>
      <c r="E145" s="69">
        <v>370353</v>
      </c>
      <c r="F145" s="69">
        <f>'[3]Salary Summary 19 for 2019-2021'!L21</f>
        <v>397838.330175512</v>
      </c>
      <c r="G145" s="69">
        <v>397838</v>
      </c>
      <c r="J145" s="69">
        <f>'[3]Salary Summary 20 for 2019-2021'!P21</f>
        <v>407921.71190234425</v>
      </c>
      <c r="K145" s="362">
        <f>J145</f>
        <v>407921.71190234425</v>
      </c>
      <c r="L145" s="362">
        <f>E145+G145+K145</f>
        <v>1176112.7119023441</v>
      </c>
      <c r="M145" s="573"/>
      <c r="N145" s="377"/>
      <c r="O145" s="574">
        <f>'Salary Summary 21 for 2022-2024'!M22</f>
        <v>421729.71471202973</v>
      </c>
      <c r="P145" s="574">
        <f t="shared" si="84"/>
        <v>421729.71471202973</v>
      </c>
      <c r="Q145" s="170"/>
      <c r="R145" s="574">
        <f t="shared" si="85"/>
        <v>421729.71471202973</v>
      </c>
      <c r="S145" s="573"/>
      <c r="T145" s="379">
        <f>'Salary Summary 21 for 2022-2024'!Q22</f>
        <v>435913.5181212278</v>
      </c>
      <c r="U145" s="379"/>
      <c r="V145" s="379">
        <f>'Salary Summary 21 for 2022-2024'!U22</f>
        <v>450092.86012399237</v>
      </c>
      <c r="W145" s="53">
        <f>U145+V145</f>
        <v>450092.86012399237</v>
      </c>
      <c r="X145" s="191">
        <f>T145+W145</f>
        <v>886006.37824522017</v>
      </c>
      <c r="Y145" s="380"/>
    </row>
    <row r="146" spans="1:25" s="571" customFormat="1">
      <c r="A146" s="172">
        <f t="shared" ref="A146:A147" si="94">A145+1</f>
        <v>694</v>
      </c>
      <c r="B146" s="571" t="s">
        <v>1064</v>
      </c>
      <c r="C146" s="174">
        <f>C145+C142+C137+C129</f>
        <v>7131037.9096005112</v>
      </c>
      <c r="D146" s="174">
        <v>7414608.7322091702</v>
      </c>
      <c r="E146" s="174">
        <f t="shared" ref="E146:H146" si="95">E145+E142+E137+E129</f>
        <v>2655306</v>
      </c>
      <c r="F146" s="174">
        <f t="shared" si="95"/>
        <v>3592422.330175512</v>
      </c>
      <c r="G146" s="174">
        <f t="shared" si="95"/>
        <v>3467822</v>
      </c>
      <c r="H146" s="174">
        <f t="shared" si="95"/>
        <v>0</v>
      </c>
      <c r="I146" s="174">
        <f>I145+I142+I137+I129</f>
        <v>33000</v>
      </c>
      <c r="J146" s="174">
        <f t="shared" ref="J146:K146" si="96">J145+J142+J137+J129</f>
        <v>2830005.7119023441</v>
      </c>
      <c r="K146" s="174">
        <f t="shared" si="96"/>
        <v>2830005.7119023441</v>
      </c>
      <c r="L146" s="174">
        <f>E146+G146+K146</f>
        <v>8953133.7119023446</v>
      </c>
      <c r="M146" s="175"/>
      <c r="N146" s="176">
        <f>N145+N142+N137+N129</f>
        <v>33000</v>
      </c>
      <c r="O146" s="176">
        <f t="shared" ref="O146:P146" si="97">O145+O142+O137+O129</f>
        <v>3392173.7147120298</v>
      </c>
      <c r="P146" s="176">
        <f t="shared" si="97"/>
        <v>3425173.7147120298</v>
      </c>
      <c r="Q146" s="622"/>
      <c r="R146" s="176">
        <f t="shared" si="85"/>
        <v>3425173.7147120298</v>
      </c>
      <c r="S146" s="175"/>
      <c r="T146" s="178">
        <f t="shared" ref="T146:X146" si="98">T145+T142+T137+T129</f>
        <v>2783307.5181212276</v>
      </c>
      <c r="U146" s="178">
        <f t="shared" si="98"/>
        <v>20000</v>
      </c>
      <c r="V146" s="178">
        <f t="shared" si="98"/>
        <v>2844653.3601239924</v>
      </c>
      <c r="W146" s="178">
        <f t="shared" si="98"/>
        <v>2864653.3601239924</v>
      </c>
      <c r="X146" s="178">
        <f t="shared" si="98"/>
        <v>5647960.8782452196</v>
      </c>
      <c r="Y146" s="628"/>
    </row>
    <row r="147" spans="1:25" s="369" customFormat="1">
      <c r="A147" s="368">
        <f t="shared" si="94"/>
        <v>695</v>
      </c>
      <c r="B147" s="369" t="s">
        <v>1065</v>
      </c>
      <c r="C147" s="370">
        <f>C146+C100+C82+C74</f>
        <v>16655120.786570068</v>
      </c>
      <c r="D147" s="370">
        <v>17411661.748919137</v>
      </c>
      <c r="E147" s="576">
        <f t="shared" ref="E147:H147" si="99">E146+E100+E82+E74</f>
        <v>5508429</v>
      </c>
      <c r="F147" s="576">
        <f t="shared" si="99"/>
        <v>6885816.0342137441</v>
      </c>
      <c r="G147" s="576">
        <f t="shared" si="99"/>
        <v>6634965.7040382316</v>
      </c>
      <c r="H147" s="576">
        <f t="shared" si="99"/>
        <v>0</v>
      </c>
      <c r="I147" s="576">
        <f>I146+I100+I82+I74</f>
        <v>82500</v>
      </c>
      <c r="J147" s="576">
        <f t="shared" ref="J147:K147" si="100">J146+J100+J82+J74</f>
        <v>6160497.1302001253</v>
      </c>
      <c r="K147" s="576">
        <f t="shared" si="100"/>
        <v>6209997.1302001253</v>
      </c>
      <c r="L147" s="576">
        <f>E147+G147+K147</f>
        <v>18353391.834238358</v>
      </c>
      <c r="M147" s="579"/>
      <c r="N147" s="577">
        <f>N146+N100+N82+N74</f>
        <v>76500</v>
      </c>
      <c r="O147" s="577">
        <f t="shared" ref="O147:P147" si="101">O146+O100+O82+O74</f>
        <v>6913065.6163166994</v>
      </c>
      <c r="P147" s="577">
        <f t="shared" si="101"/>
        <v>6989565.6163166994</v>
      </c>
      <c r="Q147" s="635"/>
      <c r="R147" s="577">
        <f t="shared" si="85"/>
        <v>6989565.6163166994</v>
      </c>
      <c r="S147" s="579"/>
      <c r="T147" s="580">
        <f t="shared" ref="T147:X147" si="102">T146+T100+T82+T74</f>
        <v>6260148.558617888</v>
      </c>
      <c r="U147" s="580">
        <f t="shared" si="102"/>
        <v>127500</v>
      </c>
      <c r="V147" s="580">
        <f t="shared" si="102"/>
        <v>6390581.2756729219</v>
      </c>
      <c r="W147" s="580">
        <f t="shared" si="102"/>
        <v>6518081.2756729219</v>
      </c>
      <c r="X147" s="580">
        <f t="shared" si="102"/>
        <v>12778229.834290808</v>
      </c>
      <c r="Y147" s="376"/>
    </row>
    <row r="148" spans="1:25" ht="19.5" customHeight="1">
      <c r="A148" s="423" t="s">
        <v>128</v>
      </c>
      <c r="B148" s="362" t="s">
        <v>833</v>
      </c>
      <c r="D148" s="162">
        <v>-60500</v>
      </c>
      <c r="G148" s="69">
        <f>F148</f>
        <v>0</v>
      </c>
      <c r="N148" s="377"/>
      <c r="O148" s="377"/>
      <c r="P148" s="377">
        <f t="shared" si="84"/>
        <v>0</v>
      </c>
      <c r="Q148" s="378"/>
      <c r="R148" s="377">
        <f t="shared" si="85"/>
        <v>0</v>
      </c>
      <c r="T148" s="379"/>
      <c r="U148" s="379"/>
      <c r="V148" s="53">
        <f t="shared" ref="V148" si="103">T148+U148</f>
        <v>0</v>
      </c>
      <c r="W148" s="53">
        <f>U148+V148</f>
        <v>0</v>
      </c>
      <c r="X148" s="191">
        <f>T148+W148</f>
        <v>0</v>
      </c>
      <c r="Y148" s="380"/>
    </row>
    <row r="149" spans="1:25" s="390" customFormat="1" ht="21.4" customHeight="1" thickBot="1">
      <c r="A149" s="172" t="s">
        <v>130</v>
      </c>
      <c r="B149" s="571" t="s">
        <v>1066</v>
      </c>
      <c r="C149" s="174">
        <f>+C146+C100+C67+C82+C53+C74+C23</f>
        <v>39458739.246987455</v>
      </c>
      <c r="D149" s="174">
        <v>40291470.95311594</v>
      </c>
      <c r="E149" s="174">
        <f>+E146+E100+E67+E82+E53+E74+E23</f>
        <v>12774991</v>
      </c>
      <c r="F149" s="174" t="e">
        <f t="shared" ref="F149:H149" si="104">+F146+F100+F67+F82+F53+F74+F23</f>
        <v>#REF!</v>
      </c>
      <c r="G149" s="174">
        <f t="shared" si="104"/>
        <v>14323250.900300581</v>
      </c>
      <c r="H149" s="174">
        <f t="shared" si="104"/>
        <v>0</v>
      </c>
      <c r="I149" s="174">
        <f>+I146+I100+I67+I82+I53+I74+I23</f>
        <v>128500</v>
      </c>
      <c r="J149" s="174">
        <f t="shared" ref="J149:L149" si="105">+J146+J100+J67+J82+J53+J74+J23</f>
        <v>14309244.574439177</v>
      </c>
      <c r="K149" s="174">
        <f t="shared" si="105"/>
        <v>14372744.574439177</v>
      </c>
      <c r="L149" s="174">
        <f t="shared" si="105"/>
        <v>41043157.47473976</v>
      </c>
      <c r="M149" s="175"/>
      <c r="N149" s="176">
        <f>+N146+N100+N67+N82+N53+N74+N23</f>
        <v>124500</v>
      </c>
      <c r="O149" s="176">
        <f t="shared" ref="O149:P149" si="106">+O146+O100+O67+O82+O53+O74+O23</f>
        <v>15281446.523113923</v>
      </c>
      <c r="P149" s="176">
        <f t="shared" si="106"/>
        <v>15405946.523113923</v>
      </c>
      <c r="Q149" s="636"/>
      <c r="R149" s="176">
        <f t="shared" si="85"/>
        <v>15405946.523113923</v>
      </c>
      <c r="S149" s="175"/>
      <c r="T149" s="178">
        <f t="shared" ref="T149:X149" si="107">+T146+T100+T67+T82+T53+T74+T23</f>
        <v>14911145.644087801</v>
      </c>
      <c r="U149" s="178">
        <f t="shared" si="107"/>
        <v>249000</v>
      </c>
      <c r="V149" s="178">
        <f t="shared" si="107"/>
        <v>15006205.138515212</v>
      </c>
      <c r="W149" s="178">
        <f t="shared" si="107"/>
        <v>15184205.138515212</v>
      </c>
      <c r="X149" s="178">
        <f t="shared" si="107"/>
        <v>30095350.782603014</v>
      </c>
      <c r="Y149" s="637"/>
    </row>
    <row r="150" spans="1:25">
      <c r="G150"/>
      <c r="H150" s="638"/>
      <c r="T150" s="379"/>
      <c r="U150" s="379"/>
      <c r="V150" s="379"/>
      <c r="W150" s="379"/>
      <c r="X150" s="379"/>
      <c r="Y150" s="380"/>
    </row>
    <row r="151" spans="1:25">
      <c r="B151"/>
      <c r="C151"/>
      <c r="E151"/>
      <c r="F151"/>
      <c r="G151"/>
      <c r="H151" s="638"/>
      <c r="I151"/>
      <c r="J151"/>
      <c r="K151"/>
      <c r="L151"/>
      <c r="M151" s="639"/>
      <c r="N151"/>
      <c r="O151"/>
      <c r="P151"/>
      <c r="Q151" s="638"/>
      <c r="R151"/>
      <c r="S151" s="639"/>
    </row>
    <row r="152" spans="1:25" s="9" customFormat="1">
      <c r="A152" s="161"/>
      <c r="B152"/>
      <c r="C152"/>
      <c r="D152"/>
      <c r="E152"/>
      <c r="F152"/>
      <c r="G152" s="69">
        <f>SUBTOTAL(9,G58:G59)</f>
        <v>577829</v>
      </c>
      <c r="H152" s="211"/>
      <c r="I152"/>
      <c r="J152"/>
      <c r="K152"/>
      <c r="L152"/>
      <c r="M152" s="639"/>
      <c r="N152"/>
      <c r="O152"/>
      <c r="P152"/>
      <c r="Q152" s="638"/>
      <c r="R152"/>
      <c r="S152" s="639"/>
      <c r="Y152" s="11"/>
    </row>
    <row r="153" spans="1:25" s="9" customFormat="1">
      <c r="A153" s="161"/>
      <c r="B153"/>
      <c r="C153"/>
      <c r="D153"/>
      <c r="E153"/>
      <c r="F153"/>
      <c r="G153" s="69">
        <v>485000</v>
      </c>
      <c r="H153" s="211"/>
      <c r="I153"/>
      <c r="J153"/>
      <c r="K153"/>
      <c r="L153"/>
      <c r="M153" s="639"/>
      <c r="N153"/>
      <c r="O153"/>
      <c r="P153"/>
      <c r="Q153" s="638"/>
      <c r="R153"/>
      <c r="S153" s="639"/>
      <c r="Y153" s="11"/>
    </row>
    <row r="155" spans="1:25">
      <c r="G155" s="214"/>
      <c r="H155" s="215"/>
    </row>
    <row r="156" spans="1:25">
      <c r="G156" s="214"/>
      <c r="H156" s="215"/>
    </row>
    <row r="157" spans="1:25" s="9" customFormat="1">
      <c r="A157" s="161"/>
      <c r="B157"/>
      <c r="C157" s="214"/>
      <c r="D157" s="214"/>
      <c r="E157" s="214"/>
      <c r="F157" s="214"/>
      <c r="G157" s="214"/>
      <c r="H157" s="215"/>
      <c r="I157" s="214"/>
      <c r="J157" s="214"/>
      <c r="K157" s="214"/>
      <c r="L157" s="214"/>
      <c r="M157" s="216"/>
      <c r="N157" s="214"/>
      <c r="O157" s="214"/>
      <c r="P157" s="214"/>
      <c r="Q157" s="215"/>
      <c r="R157" s="214"/>
      <c r="S157" s="216"/>
      <c r="Y157" s="11"/>
    </row>
    <row r="158" spans="1:25" s="9" customFormat="1">
      <c r="A158" s="161"/>
      <c r="B158"/>
      <c r="C158" s="214"/>
      <c r="D158" s="214"/>
      <c r="E158" s="214"/>
      <c r="F158" s="214"/>
      <c r="G158" s="214"/>
      <c r="H158" s="215"/>
      <c r="I158" s="214"/>
      <c r="J158" s="214"/>
      <c r="K158" s="214"/>
      <c r="L158" s="214"/>
      <c r="M158" s="216"/>
      <c r="N158" s="214"/>
      <c r="O158" s="214"/>
      <c r="P158" s="214"/>
      <c r="Q158" s="215"/>
      <c r="R158" s="214"/>
      <c r="S158" s="216"/>
      <c r="Y158" s="11"/>
    </row>
    <row r="159" spans="1:25" s="9" customFormat="1">
      <c r="A159" s="161"/>
      <c r="B159"/>
      <c r="C159" s="214"/>
      <c r="D159" s="214"/>
      <c r="E159" s="214"/>
      <c r="F159" s="214"/>
      <c r="G159" s="395"/>
      <c r="H159" s="396"/>
      <c r="I159" s="214"/>
      <c r="J159" s="214"/>
      <c r="K159" s="214"/>
      <c r="L159" s="214"/>
      <c r="M159" s="216"/>
      <c r="N159" s="214"/>
      <c r="O159" s="214"/>
      <c r="P159" s="214"/>
      <c r="Q159" s="215"/>
      <c r="R159" s="214"/>
      <c r="S159" s="216"/>
      <c r="Y159" s="11"/>
    </row>
    <row r="160" spans="1:25" s="9" customFormat="1">
      <c r="A160" s="161"/>
      <c r="B160"/>
      <c r="C160" s="214"/>
      <c r="D160" s="214"/>
      <c r="E160" s="214"/>
      <c r="F160" s="214"/>
      <c r="G160" s="69"/>
      <c r="H160" s="211"/>
      <c r="I160" s="214"/>
      <c r="J160" s="214"/>
      <c r="K160" s="214"/>
      <c r="L160" s="214"/>
      <c r="M160" s="216"/>
      <c r="N160" s="214"/>
      <c r="O160" s="214"/>
      <c r="P160" s="214"/>
      <c r="Q160" s="215"/>
      <c r="R160" s="214"/>
      <c r="S160" s="216"/>
      <c r="Y160" s="11"/>
    </row>
    <row r="161" spans="1:25" s="9" customFormat="1">
      <c r="A161" s="161"/>
      <c r="B161"/>
      <c r="C161" s="395"/>
      <c r="D161" s="395"/>
      <c r="E161" s="395"/>
      <c r="F161" s="395"/>
      <c r="G161" s="214"/>
      <c r="H161" s="215"/>
      <c r="I161" s="395"/>
      <c r="J161" s="395"/>
      <c r="K161" s="395"/>
      <c r="L161" s="395"/>
      <c r="M161" s="397"/>
      <c r="N161" s="395"/>
      <c r="O161" s="395"/>
      <c r="P161" s="395"/>
      <c r="Q161" s="396"/>
      <c r="R161" s="395"/>
      <c r="S161" s="397"/>
      <c r="Y161" s="11"/>
    </row>
    <row r="162" spans="1:25">
      <c r="G162" s="214"/>
      <c r="H162" s="215"/>
    </row>
    <row r="163" spans="1:25">
      <c r="C163" s="214"/>
      <c r="D163" s="214"/>
      <c r="E163" s="214"/>
      <c r="F163" s="214"/>
      <c r="I163" s="214"/>
      <c r="J163" s="214"/>
      <c r="K163" s="214"/>
      <c r="L163" s="214"/>
      <c r="M163" s="216"/>
      <c r="N163" s="214"/>
      <c r="O163" s="214"/>
      <c r="P163" s="214"/>
      <c r="Q163" s="215"/>
      <c r="R163" s="214"/>
      <c r="S163" s="216"/>
    </row>
    <row r="164" spans="1:25">
      <c r="C164" s="214"/>
      <c r="D164" s="214"/>
      <c r="E164" s="214"/>
      <c r="F164" s="214"/>
      <c r="I164" s="214"/>
      <c r="J164" s="214"/>
      <c r="K164" s="214"/>
      <c r="L164" s="214"/>
      <c r="M164" s="216"/>
      <c r="N164" s="214"/>
      <c r="O164" s="214"/>
      <c r="P164" s="214"/>
      <c r="Q164" s="215"/>
      <c r="R164" s="214"/>
      <c r="S164" s="216"/>
    </row>
    <row r="173" spans="1:25">
      <c r="G173" s="69">
        <f>F173</f>
        <v>0</v>
      </c>
    </row>
    <row r="178" spans="7:7">
      <c r="G178" s="69">
        <f>F178</f>
        <v>0</v>
      </c>
    </row>
    <row r="179" spans="7:7">
      <c r="G179" s="69">
        <f>F179</f>
        <v>0</v>
      </c>
    </row>
    <row r="182" spans="7:7">
      <c r="G182" s="69">
        <f>F182</f>
        <v>0</v>
      </c>
    </row>
    <row r="183" spans="7:7">
      <c r="G183" s="69">
        <f>F183</f>
        <v>0</v>
      </c>
    </row>
    <row r="186" spans="7:7">
      <c r="G186" s="69">
        <f>F186</f>
        <v>0</v>
      </c>
    </row>
    <row r="187" spans="7:7">
      <c r="G187" s="69">
        <f>F187</f>
        <v>0</v>
      </c>
    </row>
    <row r="188" spans="7:7">
      <c r="G188" s="69">
        <f>F188</f>
        <v>0</v>
      </c>
    </row>
    <row r="189" spans="7:7">
      <c r="G189" s="69">
        <f>F189</f>
        <v>0</v>
      </c>
    </row>
  </sheetData>
  <autoFilter ref="A5:Q149" xr:uid="{00000000-0009-0000-0000-00000C000000}"/>
  <printOptions horizontalCentered="1" headings="1" gridLines="1"/>
  <pageMargins left="0.25" right="0.25" top="0.75" bottom="0.25" header="0.25" footer="0.25"/>
  <pageSetup scale="48" fitToHeight="5" orientation="landscape" r:id="rId1"/>
  <headerFooter>
    <oddFooter>Page &amp;P of &amp;N</oddFooter>
  </headerFooter>
  <rowBreaks count="1" manualBreakCount="1">
    <brk id="83" max="24" man="1"/>
  </rowBreaks>
  <colBreaks count="1" manualBreakCount="1">
    <brk id="17" max="14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43A9A777D79F48A3C3546B5A996D45" ma:contentTypeVersion="13" ma:contentTypeDescription="Create a new document." ma:contentTypeScope="" ma:versionID="1faec8d543df54d1902dad614b66190a">
  <xsd:schema xmlns:xsd="http://www.w3.org/2001/XMLSchema" xmlns:xs="http://www.w3.org/2001/XMLSchema" xmlns:p="http://schemas.microsoft.com/office/2006/metadata/properties" xmlns:ns3="dd21200a-103b-46f6-a29c-7f677b99dccc" xmlns:ns4="9bec7981-e1df-42e0-af2d-28bb3c8432e8" targetNamespace="http://schemas.microsoft.com/office/2006/metadata/properties" ma:root="true" ma:fieldsID="4a862b2cbeff8011c7407b9f5099b567" ns3:_="" ns4:_="">
    <xsd:import namespace="dd21200a-103b-46f6-a29c-7f677b99dccc"/>
    <xsd:import namespace="9bec7981-e1df-42e0-af2d-28bb3c8432e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1200a-103b-46f6-a29c-7f677b99dcc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7981-e1df-42e0-af2d-28bb3c8432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B4D23-99C1-4093-8ABA-657A628FF50E}">
  <ds:schemaRefs>
    <ds:schemaRef ds:uri="http://schemas.microsoft.com/sharepoint/v3/contenttype/forms"/>
  </ds:schemaRefs>
</ds:datastoreItem>
</file>

<file path=customXml/itemProps2.xml><?xml version="1.0" encoding="utf-8"?>
<ds:datastoreItem xmlns:ds="http://schemas.openxmlformats.org/officeDocument/2006/customXml" ds:itemID="{9D612D41-988D-41BE-9C69-89F322DC02C1}">
  <ds:schemaRefs>
    <ds:schemaRef ds:uri="http://purl.org/dc/elements/1.1/"/>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dd21200a-103b-46f6-a29c-7f677b99dccc"/>
    <ds:schemaRef ds:uri="http://purl.org/dc/dcmitype/"/>
    <ds:schemaRef ds:uri="9bec7981-e1df-42e0-af2d-28bb3c8432e8"/>
    <ds:schemaRef ds:uri="http://schemas.microsoft.com/office/2006/metadata/properties"/>
  </ds:schemaRefs>
</ds:datastoreItem>
</file>

<file path=customXml/itemProps3.xml><?xml version="1.0" encoding="utf-8"?>
<ds:datastoreItem xmlns:ds="http://schemas.openxmlformats.org/officeDocument/2006/customXml" ds:itemID="{5174D103-55D0-4F2C-9FAA-5D6F9BB22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1200a-103b-46f6-a29c-7f677b99dccc"/>
    <ds:schemaRef ds:uri="9bec7981-e1df-42e0-af2d-28bb3c8432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SUMMARY</vt:lpstr>
      <vt:lpstr>EVANGELISM</vt:lpstr>
      <vt:lpstr>REC &amp; JUST</vt:lpstr>
      <vt:lpstr>CREATION CARE</vt:lpstr>
      <vt:lpstr>PB Ministry</vt:lpstr>
      <vt:lpstr>MISSION WITHIN</vt:lpstr>
      <vt:lpstr>MISSION BEYOND</vt:lpstr>
      <vt:lpstr>Governance</vt:lpstr>
      <vt:lpstr>Fin Legal Oper</vt:lpstr>
      <vt:lpstr>Salary Summary 21 for 2022-2024</vt:lpstr>
      <vt:lpstr>CREATIONCARE</vt:lpstr>
      <vt:lpstr>EvangelismDetail</vt:lpstr>
      <vt:lpstr>EvangelismTotal</vt:lpstr>
      <vt:lpstr>EvngelismTotal</vt:lpstr>
      <vt:lpstr>MISSIONBEYOND</vt:lpstr>
      <vt:lpstr>MISSIONWITHIN</vt:lpstr>
      <vt:lpstr>PBOFFICE</vt:lpstr>
      <vt:lpstr>'CREATION CARE'!Print_Area</vt:lpstr>
      <vt:lpstr>EVANGELISM!Print_Area</vt:lpstr>
      <vt:lpstr>'Fin Legal Oper'!Print_Area</vt:lpstr>
      <vt:lpstr>Governance!Print_Area</vt:lpstr>
      <vt:lpstr>'MISSION BEYOND'!Print_Area</vt:lpstr>
      <vt:lpstr>'MISSION WITHIN'!Print_Area</vt:lpstr>
      <vt:lpstr>'PB Ministry'!Print_Area</vt:lpstr>
      <vt:lpstr>'REC &amp; JUST'!Print_Area</vt:lpstr>
      <vt:lpstr>'Salary Summary 21 for 2022-2024'!Print_Area</vt:lpstr>
      <vt:lpstr>SUMMARY!Print_Area</vt:lpstr>
      <vt:lpstr>'CREATION CARE'!Print_Titles</vt:lpstr>
      <vt:lpstr>EVANGELISM!Print_Titles</vt:lpstr>
      <vt:lpstr>'Fin Legal Oper'!Print_Titles</vt:lpstr>
      <vt:lpstr>Governance!Print_Titles</vt:lpstr>
      <vt:lpstr>'MISSION BEYOND'!Print_Titles</vt:lpstr>
      <vt:lpstr>'MISSION WITHIN'!Print_Titles</vt:lpstr>
      <vt:lpstr>'PB Ministry'!Print_Titles</vt:lpstr>
      <vt:lpstr>'REC &amp; JUST'!Print_Titles</vt:lpstr>
      <vt:lpstr>SUMMARY!Print_Titles</vt:lpstr>
      <vt:lpstr>Reconciliation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Barnes</dc:creator>
  <cp:lastModifiedBy>Kurt Barnes</cp:lastModifiedBy>
  <cp:lastPrinted>2021-10-27T18:32:09Z</cp:lastPrinted>
  <dcterms:created xsi:type="dcterms:W3CDTF">2021-10-26T20:25:05Z</dcterms:created>
  <dcterms:modified xsi:type="dcterms:W3CDTF">2021-10-27T18:33:30Z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0x010100C643A9A777D79F48A3C3546B5A996D45</vt:lpwstr>
  </property>
</Properties>
</file>