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https://dfms-my.sharepoint.com/personal/nkbarnes_dfms_org/Documents/Documents/Budget 2022-2024/2023-2024/"/>
    </mc:Choice>
  </mc:AlternateContent>
  <xr:revisionPtr revIDLastSave="1" documentId="8_{9D435AF3-DF7C-4B17-BF1E-E219CA1941F2}" xr6:coauthVersionLast="45" xr6:coauthVersionMax="45" xr10:uidLastSave="{289D3BFF-BE99-41FD-8583-C8DFC76B0B78}"/>
  <bookViews>
    <workbookView xWindow="-98" yWindow="-98" windowWidth="20715" windowHeight="13276" xr2:uid="{9A32C7D7-C5C4-4570-BC02-312805F258D7}"/>
  </bookViews>
  <sheets>
    <sheet name="SUMMARY" sheetId="1" r:id="rId1"/>
    <sheet name="EVANGELISM" sheetId="2" r:id="rId2"/>
    <sheet name="REC &amp; JUST" sheetId="3" r:id="rId3"/>
    <sheet name="CREATION CARE" sheetId="4" r:id="rId4"/>
    <sheet name="PB Ministry" sheetId="5" r:id="rId5"/>
    <sheet name="MISSION WITHIN" sheetId="6" r:id="rId6"/>
    <sheet name="MISSION BEYOND" sheetId="7" r:id="rId7"/>
    <sheet name="Governance" sheetId="8" r:id="rId8"/>
    <sheet name="Fin Legal Oper" sheetId="9" r:id="rId9"/>
    <sheet name="Salary Summary 21 for 2022-2024" sheetId="10" r:id="rId10"/>
  </sheets>
  <externalReferences>
    <externalReference r:id="rId11"/>
    <externalReference r:id="rId12"/>
    <externalReference r:id="rId13"/>
    <externalReference r:id="rId14"/>
    <externalReference r:id="rId15"/>
    <externalReference r:id="rId16"/>
  </externalReferences>
  <definedNames>
    <definedName name="_xlnm._FilterDatabase" localSheetId="3" hidden="1">'CREATION CARE'!$A$5:$O$25</definedName>
    <definedName name="_xlnm._FilterDatabase" localSheetId="1" hidden="1">EVANGELISM!$B$5:$O$33</definedName>
    <definedName name="_xlnm._FilterDatabase" localSheetId="8" hidden="1">'Fin Legal Oper'!$A$5:$O$149</definedName>
    <definedName name="_xlnm._FilterDatabase" localSheetId="7" hidden="1">Governance!$B$5:$O$63</definedName>
    <definedName name="_xlnm._FilterDatabase" localSheetId="6" hidden="1">'MISSION BEYOND'!$A$5:$O$113</definedName>
    <definedName name="_xlnm._FilterDatabase" localSheetId="5" hidden="1">'MISSION WITHIN'!$A$5:$O$208</definedName>
    <definedName name="_xlnm._FilterDatabase" localSheetId="4" hidden="1">'PB Ministry'!$B$5:$O$60</definedName>
    <definedName name="_xlnm._FilterDatabase" localSheetId="2" hidden="1">'REC &amp; JUST'!$A$5:$O$122</definedName>
    <definedName name="_xlnm._FilterDatabase" localSheetId="0" hidden="1">SUMMARY!$A$5:$E$44</definedName>
    <definedName name="Address">[1]Address!$A$2:$M$112</definedName>
    <definedName name="CREATIONCARE">'CREATION CARE'!$A$3</definedName>
    <definedName name="DFMSTB" localSheetId="4">#REF!</definedName>
    <definedName name="DFMSTB" localSheetId="9">#REF!</definedName>
    <definedName name="DFMSTB">#REF!</definedName>
    <definedName name="Dio">'[1]Account Number'!$A$2:$D$156</definedName>
    <definedName name="ERDTB" localSheetId="4">#REF!</definedName>
    <definedName name="ERDTB" localSheetId="9">#REF!</definedName>
    <definedName name="ERDTB">#REF!</definedName>
    <definedName name="EvangelismDetail">EVANGELISM!$A$3</definedName>
    <definedName name="EvangelismTotal">EVANGELISM!$B$32</definedName>
    <definedName name="EvngelismTotal">EVANGELISM!$A$32</definedName>
    <definedName name="FLO">'Fin Legal Oper'!#REF!</definedName>
    <definedName name="GOVERNANCE">Governance!#REF!</definedName>
    <definedName name="Main" localSheetId="4">#REF!</definedName>
    <definedName name="Main" localSheetId="9">#REF!</definedName>
    <definedName name="Main">#REF!</definedName>
    <definedName name="MISSIONBEYOND">'MISSION BEYOND'!$A$3</definedName>
    <definedName name="MISSIONWITHIN">'MISSION WITHIN'!$A$3</definedName>
    <definedName name="New">'[2]2011 Kurts file'!$E$7:$K$118</definedName>
    <definedName name="PBOFFICE">'PB Ministry'!$A$3</definedName>
    <definedName name="_xlnm.Print_Area" localSheetId="3">'CREATION CARE'!$A$1:$Y$22</definedName>
    <definedName name="_xlnm.Print_Area" localSheetId="1">EVANGELISM!$A$1:$Y$32</definedName>
    <definedName name="_xlnm.Print_Area" localSheetId="8">'Fin Legal Oper'!$A$1:$Y$149</definedName>
    <definedName name="_xlnm.Print_Area" localSheetId="7">Governance!$A$1:$Y$63</definedName>
    <definedName name="_xlnm.Print_Area" localSheetId="6">'MISSION BEYOND'!$A$1:$AA$113</definedName>
    <definedName name="_xlnm.Print_Area" localSheetId="5">'MISSION WITHIN'!$A$1:$Y$208</definedName>
    <definedName name="_xlnm.Print_Area" localSheetId="4">'PB Ministry'!$A$1:$Y$58</definedName>
    <definedName name="_xlnm.Print_Area" localSheetId="2">'REC &amp; JUST'!$A$1:$Y$122</definedName>
    <definedName name="_xlnm.Print_Area" localSheetId="9">'Salary Summary 21 for 2022-2024'!$A$1:$W$44</definedName>
    <definedName name="_xlnm.Print_Area" localSheetId="0">SUMMARY!$A$1:$Y$66</definedName>
    <definedName name="_xlnm.Print_Titles" localSheetId="3">'CREATION CARE'!$A:$B,'CREATION CARE'!$1:$4</definedName>
    <definedName name="_xlnm.Print_Titles" localSheetId="1">EVANGELISM!$A:$B,EVANGELISM!$1:$6</definedName>
    <definedName name="_xlnm.Print_Titles" localSheetId="8">'Fin Legal Oper'!$A:$B,'Fin Legal Oper'!$1:$5</definedName>
    <definedName name="_xlnm.Print_Titles" localSheetId="7">Governance!$A:$B,Governance!$1:$5</definedName>
    <definedName name="_xlnm.Print_Titles" localSheetId="6">'MISSION BEYOND'!$A:$B,'MISSION BEYOND'!$1:$5</definedName>
    <definedName name="_xlnm.Print_Titles" localSheetId="5">'MISSION WITHIN'!$A:$B,'MISSION WITHIN'!$1:$5</definedName>
    <definedName name="_xlnm.Print_Titles" localSheetId="4">'PB Ministry'!$A:$B,'PB Ministry'!$1:$5</definedName>
    <definedName name="_xlnm.Print_Titles" localSheetId="2">'REC &amp; JUST'!$A:$B,'REC &amp; JUST'!$1:$5</definedName>
    <definedName name="_xlnm.Print_Titles" localSheetId="0">SUMMARY!$A:$B,SUMMARY!$1:$5</definedName>
    <definedName name="Reconciliation">'REC &amp; JUST'!$A$3</definedName>
    <definedName name="Z_303CD941_10D4_409C_945D_ACE2C1BF68BA_.wvu.Cols" localSheetId="9" hidden="1">'Salary Summary 21 for 2022-2024'!#REF!,'Salary Summary 21 for 2022-2024'!#REF!</definedName>
    <definedName name="Z_303CD941_10D4_409C_945D_ACE2C1BF68BA_.wvu.PrintArea" localSheetId="9" hidden="1">'Salary Summary 21 for 2022-2024'!$A$5:$AB$64</definedName>
    <definedName name="Z_303CD941_10D4_409C_945D_ACE2C1BF68BA_.wvu.Rows" localSheetId="9" hidden="1">'Salary Summary 21 for 2022-2024'!#REF!</definedName>
    <definedName name="Z_3B6C9327_47B6_484D_A74D_FD50E7BE7744_.wvu.Cols" localSheetId="3" hidden="1">'CREATION CARE'!#REF!,'CREATION CARE'!$E:$H</definedName>
    <definedName name="Z_3B6C9327_47B6_484D_A74D_FD50E7BE7744_.wvu.Cols" localSheetId="1" hidden="1">EVANGELISM!#REF!,EVANGELISM!$E:$H</definedName>
    <definedName name="Z_3B6C9327_47B6_484D_A74D_FD50E7BE7744_.wvu.Cols" localSheetId="8" hidden="1">'Fin Legal Oper'!#REF!,'Fin Legal Oper'!$E:$H</definedName>
    <definedName name="Z_3B6C9327_47B6_484D_A74D_FD50E7BE7744_.wvu.Cols" localSheetId="7" hidden="1">Governance!$E:$H</definedName>
    <definedName name="Z_3B6C9327_47B6_484D_A74D_FD50E7BE7744_.wvu.Cols" localSheetId="6" hidden="1">'MISSION BEYOND'!#REF!</definedName>
    <definedName name="Z_3B6C9327_47B6_484D_A74D_FD50E7BE7744_.wvu.Cols" localSheetId="5" hidden="1">'MISSION WITHIN'!#REF!,'MISSION WITHIN'!$E:$H</definedName>
    <definedName name="Z_3B6C9327_47B6_484D_A74D_FD50E7BE7744_.wvu.Cols" localSheetId="4" hidden="1">'PB Ministry'!#REF!,'PB Ministry'!$E:$H</definedName>
    <definedName name="Z_3B6C9327_47B6_484D_A74D_FD50E7BE7744_.wvu.Cols" localSheetId="2" hidden="1">'REC &amp; JUST'!#REF!,'REC &amp; JUST'!#REF!</definedName>
    <definedName name="Z_3B6C9327_47B6_484D_A74D_FD50E7BE7744_.wvu.Cols" localSheetId="9" hidden="1">'Salary Summary 21 for 2022-2024'!#REF!,'Salary Summary 21 for 2022-2024'!#REF!,'Salary Summary 21 for 2022-2024'!$AB:$AB</definedName>
    <definedName name="Z_3B6C9327_47B6_484D_A74D_FD50E7BE7744_.wvu.Cols" localSheetId="0" hidden="1">SUMMARY!#REF!,SUMMARY!#REF!</definedName>
    <definedName name="Z_3B6C9327_47B6_484D_A74D_FD50E7BE7744_.wvu.FilterData" localSheetId="3" hidden="1">'CREATION CARE'!$B$1:$O$28</definedName>
    <definedName name="Z_3B6C9327_47B6_484D_A74D_FD50E7BE7744_.wvu.FilterData" localSheetId="1" hidden="1">EVANGELISM!$B$5:$O$32</definedName>
    <definedName name="Z_3B6C9327_47B6_484D_A74D_FD50E7BE7744_.wvu.FilterData" localSheetId="7" hidden="1">Governance!$B$5:$O$63</definedName>
    <definedName name="Z_3B6C9327_47B6_484D_A74D_FD50E7BE7744_.wvu.FilterData" localSheetId="5" hidden="1">'MISSION WITHIN'!$A$5:$O$203</definedName>
    <definedName name="Z_3B6C9327_47B6_484D_A74D_FD50E7BE7744_.wvu.FilterData" localSheetId="4" hidden="1">'PB Ministry'!$B$5:$O$59</definedName>
    <definedName name="Z_3B6C9327_47B6_484D_A74D_FD50E7BE7744_.wvu.FilterData" localSheetId="2" hidden="1">'REC &amp; JUST'!$B$1:$O$46</definedName>
    <definedName name="Z_3B6C9327_47B6_484D_A74D_FD50E7BE7744_.wvu.PrintArea" localSheetId="3" hidden="1">'CREATION CARE'!$A$1:$O$20</definedName>
    <definedName name="Z_3B6C9327_47B6_484D_A74D_FD50E7BE7744_.wvu.PrintArea" localSheetId="1" hidden="1">EVANGELISM!$A$1:$O$32</definedName>
    <definedName name="Z_3B6C9327_47B6_484D_A74D_FD50E7BE7744_.wvu.PrintArea" localSheetId="8" hidden="1">'Fin Legal Oper'!$A$1:$O$149</definedName>
    <definedName name="Z_3B6C9327_47B6_484D_A74D_FD50E7BE7744_.wvu.PrintArea" localSheetId="7" hidden="1">Governance!$A$1:$O$63</definedName>
    <definedName name="Z_3B6C9327_47B6_484D_A74D_FD50E7BE7744_.wvu.PrintArea" localSheetId="6" hidden="1">'MISSION BEYOND'!$A$1:$O$113</definedName>
    <definedName name="Z_3B6C9327_47B6_484D_A74D_FD50E7BE7744_.wvu.PrintArea" localSheetId="5" hidden="1">'MISSION WITHIN'!$A$1:$O$214</definedName>
    <definedName name="Z_3B6C9327_47B6_484D_A74D_FD50E7BE7744_.wvu.PrintArea" localSheetId="4" hidden="1">'PB Ministry'!$A$1:$O$58</definedName>
    <definedName name="Z_3B6C9327_47B6_484D_A74D_FD50E7BE7744_.wvu.PrintArea" localSheetId="2" hidden="1">'REC &amp; JUST'!$A$1:$O$127</definedName>
    <definedName name="Z_3B6C9327_47B6_484D_A74D_FD50E7BE7744_.wvu.PrintArea" localSheetId="9" hidden="1">'Salary Summary 21 for 2022-2024'!$A$5:$AB$42</definedName>
    <definedName name="Z_3B6C9327_47B6_484D_A74D_FD50E7BE7744_.wvu.PrintArea" localSheetId="0" hidden="1">SUMMARY!$A$1:$O$73</definedName>
    <definedName name="Z_3B6C9327_47B6_484D_A74D_FD50E7BE7744_.wvu.PrintTitles" localSheetId="1" hidden="1">EVANGELISM!$1:$6</definedName>
    <definedName name="Z_3B6C9327_47B6_484D_A74D_FD50E7BE7744_.wvu.PrintTitles" localSheetId="8" hidden="1">'Fin Legal Oper'!$3:$5</definedName>
    <definedName name="Z_3B6C9327_47B6_484D_A74D_FD50E7BE7744_.wvu.PrintTitles" localSheetId="7" hidden="1">Governance!$3:$5</definedName>
    <definedName name="Z_3B6C9327_47B6_484D_A74D_FD50E7BE7744_.wvu.PrintTitles" localSheetId="6" hidden="1">'MISSION BEYOND'!$1:$5</definedName>
    <definedName name="Z_3B6C9327_47B6_484D_A74D_FD50E7BE7744_.wvu.PrintTitles" localSheetId="5" hidden="1">'MISSION WITHIN'!$1:$5</definedName>
    <definedName name="Z_3B6C9327_47B6_484D_A74D_FD50E7BE7744_.wvu.PrintTitles" localSheetId="4" hidden="1">'PB Ministry'!$1:$5</definedName>
    <definedName name="Z_3B6C9327_47B6_484D_A74D_FD50E7BE7744_.wvu.PrintTitles" localSheetId="2" hidden="1">'REC &amp; JUST'!$1:$5</definedName>
    <definedName name="Z_3B6C9327_47B6_484D_A74D_FD50E7BE7744_.wvu.PrintTitles" localSheetId="0" hidden="1">SUMMARY!$47:$47</definedName>
    <definedName name="Z_3B6C9327_47B6_484D_A74D_FD50E7BE7744_.wvu.Rows" localSheetId="8" hidden="1">'Fin Legal Oper'!$1:$1</definedName>
    <definedName name="Z_3B6C9327_47B6_484D_A74D_FD50E7BE7744_.wvu.Rows" localSheetId="7" hidden="1">Governance!$7:$11,Governance!$13:$17,Governance!$18:$62,Governance!$63:$63</definedName>
    <definedName name="Z_3B6C9327_47B6_484D_A74D_FD50E7BE7744_.wvu.Rows" localSheetId="9" hidden="1">'Salary Summary 21 for 2022-2024'!#REF!</definedName>
    <definedName name="Z_3B6C9327_47B6_484D_A74D_FD50E7BE7744_.wvu.Rows" localSheetId="0" hidden="1">SUMMARY!#REF!</definedName>
    <definedName name="Z_65B9FA53_5F1E_4DCA_87AC_0F3893C04BBD_.wvu.Cols" localSheetId="3" hidden="1">'CREATION CARE'!#REF!,'CREATION CARE'!#REF!</definedName>
    <definedName name="Z_65B9FA53_5F1E_4DCA_87AC_0F3893C04BBD_.wvu.Cols" localSheetId="1" hidden="1">EVANGELISM!#REF!,EVANGELISM!$E:$H,EVANGELISM!#REF!</definedName>
    <definedName name="Z_65B9FA53_5F1E_4DCA_87AC_0F3893C04BBD_.wvu.Cols" localSheetId="8" hidden="1">'Fin Legal Oper'!#REF!,'Fin Legal Oper'!#REF!</definedName>
    <definedName name="Z_65B9FA53_5F1E_4DCA_87AC_0F3893C04BBD_.wvu.Cols" localSheetId="7" hidden="1">Governance!#REF!,Governance!#REF!</definedName>
    <definedName name="Z_65B9FA53_5F1E_4DCA_87AC_0F3893C04BBD_.wvu.Cols" localSheetId="6" hidden="1">'MISSION BEYOND'!#REF!,'MISSION BEYOND'!#REF!</definedName>
    <definedName name="Z_65B9FA53_5F1E_4DCA_87AC_0F3893C04BBD_.wvu.Cols" localSheetId="5" hidden="1">'MISSION WITHIN'!#REF!,'MISSION WITHIN'!#REF!</definedName>
    <definedName name="Z_65B9FA53_5F1E_4DCA_87AC_0F3893C04BBD_.wvu.Cols" localSheetId="4" hidden="1">'PB Ministry'!#REF!,'PB Ministry'!#REF!</definedName>
    <definedName name="Z_65B9FA53_5F1E_4DCA_87AC_0F3893C04BBD_.wvu.Cols" localSheetId="2" hidden="1">'REC &amp; JUST'!#REF!,'REC &amp; JUST'!#REF!</definedName>
    <definedName name="Z_65B9FA53_5F1E_4DCA_87AC_0F3893C04BBD_.wvu.Cols" localSheetId="9" hidden="1">'Salary Summary 21 for 2022-2024'!#REF!,'Salary Summary 21 for 2022-2024'!#REF!,'Salary Summary 21 for 2022-2024'!$AB:$AB</definedName>
    <definedName name="Z_65B9FA53_5F1E_4DCA_87AC_0F3893C04BBD_.wvu.Cols" localSheetId="0" hidden="1">SUMMARY!#REF!,SUMMARY!$E:$K</definedName>
    <definedName name="Z_65B9FA53_5F1E_4DCA_87AC_0F3893C04BBD_.wvu.FilterData" localSheetId="3" hidden="1">'CREATION CARE'!$B$1:$O$28</definedName>
    <definedName name="Z_65B9FA53_5F1E_4DCA_87AC_0F3893C04BBD_.wvu.FilterData" localSheetId="1" hidden="1">EVANGELISM!$B$5:$O$32</definedName>
    <definedName name="Z_65B9FA53_5F1E_4DCA_87AC_0F3893C04BBD_.wvu.FilterData" localSheetId="7" hidden="1">Governance!$B$5:$O$63</definedName>
    <definedName name="Z_65B9FA53_5F1E_4DCA_87AC_0F3893C04BBD_.wvu.FilterData" localSheetId="5" hidden="1">'MISSION WITHIN'!$A$5:$O$203</definedName>
    <definedName name="Z_65B9FA53_5F1E_4DCA_87AC_0F3893C04BBD_.wvu.FilterData" localSheetId="4" hidden="1">'PB Ministry'!$B$5:$O$59</definedName>
    <definedName name="Z_65B9FA53_5F1E_4DCA_87AC_0F3893C04BBD_.wvu.FilterData" localSheetId="2" hidden="1">'REC &amp; JUST'!$B$1:$O$46</definedName>
    <definedName name="Z_65B9FA53_5F1E_4DCA_87AC_0F3893C04BBD_.wvu.PrintArea" localSheetId="3" hidden="1">'CREATION CARE'!$A$1:$O$22</definedName>
    <definedName name="Z_65B9FA53_5F1E_4DCA_87AC_0F3893C04BBD_.wvu.PrintArea" localSheetId="1" hidden="1">EVANGELISM!$A$1:$O$32</definedName>
    <definedName name="Z_65B9FA53_5F1E_4DCA_87AC_0F3893C04BBD_.wvu.PrintArea" localSheetId="8" hidden="1">'Fin Legal Oper'!$A$1:$O$149</definedName>
    <definedName name="Z_65B9FA53_5F1E_4DCA_87AC_0F3893C04BBD_.wvu.PrintArea" localSheetId="7" hidden="1">Governance!$A$1:$O$63</definedName>
    <definedName name="Z_65B9FA53_5F1E_4DCA_87AC_0F3893C04BBD_.wvu.PrintArea" localSheetId="6" hidden="1">'MISSION BEYOND'!$A$1:$O$113</definedName>
    <definedName name="Z_65B9FA53_5F1E_4DCA_87AC_0F3893C04BBD_.wvu.PrintArea" localSheetId="5" hidden="1">'MISSION WITHIN'!$A$1:$O$214</definedName>
    <definedName name="Z_65B9FA53_5F1E_4DCA_87AC_0F3893C04BBD_.wvu.PrintArea" localSheetId="4" hidden="1">'PB Ministry'!$A$1:$O$58</definedName>
    <definedName name="Z_65B9FA53_5F1E_4DCA_87AC_0F3893C04BBD_.wvu.PrintArea" localSheetId="2" hidden="1">'REC &amp; JUST'!$A$1:$O$123</definedName>
    <definedName name="Z_65B9FA53_5F1E_4DCA_87AC_0F3893C04BBD_.wvu.PrintArea" localSheetId="9" hidden="1">'Salary Summary 21 for 2022-2024'!$A$1:$AB$42</definedName>
    <definedName name="Z_65B9FA53_5F1E_4DCA_87AC_0F3893C04BBD_.wvu.PrintArea" localSheetId="0" hidden="1">SUMMARY!$A$1:$O$73</definedName>
    <definedName name="Z_65B9FA53_5F1E_4DCA_87AC_0F3893C04BBD_.wvu.PrintTitles" localSheetId="1" hidden="1">EVANGELISM!$1:$6</definedName>
    <definedName name="Z_65B9FA53_5F1E_4DCA_87AC_0F3893C04BBD_.wvu.PrintTitles" localSheetId="8" hidden="1">'Fin Legal Oper'!$1:$5</definedName>
    <definedName name="Z_65B9FA53_5F1E_4DCA_87AC_0F3893C04BBD_.wvu.PrintTitles" localSheetId="7" hidden="1">Governance!$1:$5</definedName>
    <definedName name="Z_65B9FA53_5F1E_4DCA_87AC_0F3893C04BBD_.wvu.PrintTitles" localSheetId="6" hidden="1">'MISSION BEYOND'!$1:$5</definedName>
    <definedName name="Z_65B9FA53_5F1E_4DCA_87AC_0F3893C04BBD_.wvu.PrintTitles" localSheetId="5" hidden="1">'MISSION WITHIN'!$1:$5</definedName>
    <definedName name="Z_65B9FA53_5F1E_4DCA_87AC_0F3893C04BBD_.wvu.PrintTitles" localSheetId="4" hidden="1">'PB Ministry'!$1:$5</definedName>
    <definedName name="Z_65B9FA53_5F1E_4DCA_87AC_0F3893C04BBD_.wvu.PrintTitles" localSheetId="2" hidden="1">'REC &amp; JUST'!$1:$5</definedName>
    <definedName name="Z_65B9FA53_5F1E_4DCA_87AC_0F3893C04BBD_.wvu.PrintTitles" localSheetId="0" hidden="1">SUMMARY!$1:$5</definedName>
    <definedName name="Z_65B9FA53_5F1E_4DCA_87AC_0F3893C04BBD_.wvu.Rows" localSheetId="1" hidden="1">EVANGELISM!#REF!</definedName>
    <definedName name="Z_65B9FA53_5F1E_4DCA_87AC_0F3893C04BBD_.wvu.Rows" localSheetId="7" hidden="1">Governance!$11:$11,Governance!$13:$13,Governance!$17:$17</definedName>
    <definedName name="Z_65B9FA53_5F1E_4DCA_87AC_0F3893C04BBD_.wvu.Rows" localSheetId="2" hidden="1">'REC &amp; JUST'!$40:$44</definedName>
    <definedName name="Z_65B9FA53_5F1E_4DCA_87AC_0F3893C04BBD_.wvu.Rows" localSheetId="9" hidden="1">'Salary Summary 21 for 2022-2024'!$20:$20</definedName>
    <definedName name="Z_8BC9E3EE_EA46_4A24_9071_B0A70E4CA3D1_.wvu.Cols" localSheetId="9" hidden="1">'Salary Summary 21 for 2022-2024'!#REF!</definedName>
    <definedName name="Z_A3B4445E_41EB_4DBE_8F37_8BD4C1895D48_.wvu.Cols" localSheetId="3" hidden="1">'CREATION CARE'!$A:$A,'CREATION CARE'!#REF!,'CREATION CARE'!#REF!,'CREATION CARE'!#REF!,'CREATION CARE'!#REF!,'CREATION CARE'!#REF!,'CREATION CARE'!#REF!</definedName>
    <definedName name="Z_A3B4445E_41EB_4DBE_8F37_8BD4C1895D48_.wvu.Cols" localSheetId="1" hidden="1">EVANGELISM!#REF!,EVANGELISM!#REF!,EVANGELISM!#REF!,EVANGELISM!#REF!,EVANGELISM!#REF!,EVANGELISM!#REF!</definedName>
    <definedName name="Z_A3B4445E_41EB_4DBE_8F37_8BD4C1895D48_.wvu.Cols" localSheetId="8" hidden="1">'Fin Legal Oper'!#REF!</definedName>
    <definedName name="Z_A3B4445E_41EB_4DBE_8F37_8BD4C1895D48_.wvu.Cols" localSheetId="6" hidden="1">'MISSION BEYOND'!$A:$A,'MISSION BEYOND'!#REF!</definedName>
    <definedName name="Z_A3B4445E_41EB_4DBE_8F37_8BD4C1895D48_.wvu.Cols" localSheetId="5" hidden="1">'MISSION WITHIN'!#REF!,'MISSION WITHIN'!#REF!,'MISSION WITHIN'!#REF!,'MISSION WITHIN'!#REF!,'MISSION WITHIN'!#REF!,'MISSION WITHIN'!#REF!</definedName>
    <definedName name="Z_A3B4445E_41EB_4DBE_8F37_8BD4C1895D48_.wvu.Cols" localSheetId="4" hidden="1">'PB Ministry'!$A:$A,'PB Ministry'!#REF!,'PB Ministry'!#REF!,'PB Ministry'!#REF!,'PB Ministry'!#REF!,'PB Ministry'!#REF!,'PB Ministry'!#REF!</definedName>
    <definedName name="Z_A3B4445E_41EB_4DBE_8F37_8BD4C1895D48_.wvu.Cols" localSheetId="2" hidden="1">'REC &amp; JUST'!$A:$A,'REC &amp; JUST'!#REF!</definedName>
    <definedName name="Z_A3B4445E_41EB_4DBE_8F37_8BD4C1895D48_.wvu.Cols" localSheetId="9" hidden="1">'Salary Summary 21 for 2022-2024'!#REF!,'Salary Summary 21 for 2022-2024'!#REF!,'Salary Summary 21 for 2022-2024'!$AB:$AB</definedName>
    <definedName name="Z_A3B4445E_41EB_4DBE_8F37_8BD4C1895D48_.wvu.Cols" localSheetId="0" hidden="1">SUMMARY!$A:$A,SUMMARY!#REF!,SUMMARY!$D:$O</definedName>
    <definedName name="Z_A3B4445E_41EB_4DBE_8F37_8BD4C1895D48_.wvu.FilterData" localSheetId="3" hidden="1">'CREATION CARE'!$B$1:$O$28</definedName>
    <definedName name="Z_A3B4445E_41EB_4DBE_8F37_8BD4C1895D48_.wvu.FilterData" localSheetId="1" hidden="1">EVANGELISM!$B$5:$O$32</definedName>
    <definedName name="Z_A3B4445E_41EB_4DBE_8F37_8BD4C1895D48_.wvu.FilterData" localSheetId="7" hidden="1">Governance!$B$5:$O$63</definedName>
    <definedName name="Z_A3B4445E_41EB_4DBE_8F37_8BD4C1895D48_.wvu.FilterData" localSheetId="5" hidden="1">'MISSION WITHIN'!$A$5:$O$203</definedName>
    <definedName name="Z_A3B4445E_41EB_4DBE_8F37_8BD4C1895D48_.wvu.FilterData" localSheetId="4" hidden="1">'PB Ministry'!$B$5:$O$59</definedName>
    <definedName name="Z_A3B4445E_41EB_4DBE_8F37_8BD4C1895D48_.wvu.FilterData" localSheetId="2" hidden="1">'REC &amp; JUST'!$B$1:$O$46</definedName>
    <definedName name="Z_A3B4445E_41EB_4DBE_8F37_8BD4C1895D48_.wvu.PrintArea" localSheetId="3" hidden="1">'CREATION CARE'!$B$1:$O$20</definedName>
    <definedName name="Z_A3B4445E_41EB_4DBE_8F37_8BD4C1895D48_.wvu.PrintArea" localSheetId="1" hidden="1">EVANGELISM!$B$1:$O$32</definedName>
    <definedName name="Z_A3B4445E_41EB_4DBE_8F37_8BD4C1895D48_.wvu.PrintArea" localSheetId="8" hidden="1">'Fin Legal Oper'!$A$1:$O$149</definedName>
    <definedName name="Z_A3B4445E_41EB_4DBE_8F37_8BD4C1895D48_.wvu.PrintArea" localSheetId="7" hidden="1">Governance!$A$1:$O$63</definedName>
    <definedName name="Z_A3B4445E_41EB_4DBE_8F37_8BD4C1895D48_.wvu.PrintArea" localSheetId="6" hidden="1">'MISSION BEYOND'!$A$1:$O$102</definedName>
    <definedName name="Z_A3B4445E_41EB_4DBE_8F37_8BD4C1895D48_.wvu.PrintArea" localSheetId="5" hidden="1">'MISSION WITHIN'!$A$1:$O$214</definedName>
    <definedName name="Z_A3B4445E_41EB_4DBE_8F37_8BD4C1895D48_.wvu.PrintArea" localSheetId="4" hidden="1">'PB Ministry'!$A$1:$O$57</definedName>
    <definedName name="Z_A3B4445E_41EB_4DBE_8F37_8BD4C1895D48_.wvu.PrintArea" localSheetId="2" hidden="1">'REC &amp; JUST'!$A$1:$O$127</definedName>
    <definedName name="Z_A3B4445E_41EB_4DBE_8F37_8BD4C1895D48_.wvu.PrintArea" localSheetId="9" hidden="1">'Salary Summary 21 for 2022-2024'!$A$5:$AB$42</definedName>
    <definedName name="Z_A3B4445E_41EB_4DBE_8F37_8BD4C1895D48_.wvu.PrintArea" localSheetId="0" hidden="1">SUMMARY!$B$1:$O$73</definedName>
    <definedName name="Z_A3B4445E_41EB_4DBE_8F37_8BD4C1895D48_.wvu.PrintTitles" localSheetId="1" hidden="1">EVANGELISM!$1:$6</definedName>
    <definedName name="Z_A3B4445E_41EB_4DBE_8F37_8BD4C1895D48_.wvu.PrintTitles" localSheetId="8" hidden="1">'Fin Legal Oper'!$3:$5</definedName>
    <definedName name="Z_A3B4445E_41EB_4DBE_8F37_8BD4C1895D48_.wvu.PrintTitles" localSheetId="7" hidden="1">Governance!$3:$5</definedName>
    <definedName name="Z_A3B4445E_41EB_4DBE_8F37_8BD4C1895D48_.wvu.PrintTitles" localSheetId="4" hidden="1">'PB Ministry'!$1:$5</definedName>
    <definedName name="Z_A3B4445E_41EB_4DBE_8F37_8BD4C1895D48_.wvu.PrintTitles" localSheetId="0" hidden="1">SUMMARY!$47:$47</definedName>
    <definedName name="Z_A3B4445E_41EB_4DBE_8F37_8BD4C1895D48_.wvu.Rows" localSheetId="8" hidden="1">'Fin Legal Oper'!$1:$1</definedName>
    <definedName name="Z_A3B4445E_41EB_4DBE_8F37_8BD4C1895D48_.wvu.Rows" localSheetId="6" hidden="1">'MISSION BEYOND'!$6:$39,'MISSION BEYOND'!$81:$82</definedName>
    <definedName name="Z_A3B4445E_41EB_4DBE_8F37_8BD4C1895D48_.wvu.Rows" localSheetId="9" hidden="1">'Salary Summary 21 for 2022-2024'!#REF!</definedName>
    <definedName name="Z_A3B4445E_41EB_4DBE_8F37_8BD4C1895D48_.wvu.Rows" localSheetId="0" hidden="1">SUMMARY!#REF!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2" i="10" l="1"/>
  <c r="I48" i="10" s="1"/>
  <c r="H42" i="10"/>
  <c r="H48" i="10" s="1"/>
  <c r="G42" i="10"/>
  <c r="G48" i="10" s="1"/>
  <c r="F42" i="10"/>
  <c r="F51" i="10" s="1"/>
  <c r="E42" i="10"/>
  <c r="D42" i="10"/>
  <c r="C42" i="10"/>
  <c r="B42" i="10"/>
  <c r="U41" i="10"/>
  <c r="S41" i="10"/>
  <c r="R41" i="10"/>
  <c r="Q41" i="10"/>
  <c r="O41" i="10"/>
  <c r="N41" i="10"/>
  <c r="M41" i="10"/>
  <c r="K41" i="10"/>
  <c r="J41" i="10"/>
  <c r="U40" i="10"/>
  <c r="S40" i="10"/>
  <c r="R40" i="10"/>
  <c r="Q40" i="10"/>
  <c r="V40" i="10" s="1"/>
  <c r="O40" i="10"/>
  <c r="N40" i="10"/>
  <c r="M40" i="10"/>
  <c r="L40" i="10" s="1"/>
  <c r="K40" i="10"/>
  <c r="J40" i="10"/>
  <c r="U39" i="10"/>
  <c r="S39" i="10"/>
  <c r="R39" i="10"/>
  <c r="Q39" i="10"/>
  <c r="Q169" i="6" s="1"/>
  <c r="Q170" i="6" s="1"/>
  <c r="O39" i="10"/>
  <c r="N39" i="10"/>
  <c r="M39" i="10"/>
  <c r="K39" i="10"/>
  <c r="J39" i="10"/>
  <c r="U38" i="10"/>
  <c r="S38" i="10"/>
  <c r="R38" i="10"/>
  <c r="Q38" i="10"/>
  <c r="P38" i="10" s="1"/>
  <c r="O38" i="10"/>
  <c r="N38" i="10"/>
  <c r="M38" i="10"/>
  <c r="K38" i="10"/>
  <c r="J38" i="10"/>
  <c r="U37" i="10"/>
  <c r="S37" i="10"/>
  <c r="R37" i="10"/>
  <c r="Q37" i="10"/>
  <c r="O37" i="10"/>
  <c r="N37" i="10"/>
  <c r="M37" i="10"/>
  <c r="M54" i="7" s="1"/>
  <c r="K37" i="10"/>
  <c r="J37" i="10"/>
  <c r="U36" i="10"/>
  <c r="S36" i="10"/>
  <c r="R36" i="10"/>
  <c r="Q36" i="10"/>
  <c r="O36" i="10"/>
  <c r="N36" i="10"/>
  <c r="M36" i="10"/>
  <c r="K36" i="10"/>
  <c r="J36" i="10"/>
  <c r="U35" i="10"/>
  <c r="T35" i="10" s="1"/>
  <c r="S35" i="10"/>
  <c r="R35" i="10"/>
  <c r="Q35" i="10"/>
  <c r="O35" i="10"/>
  <c r="N35" i="10"/>
  <c r="M35" i="10"/>
  <c r="K35" i="10"/>
  <c r="J35" i="10"/>
  <c r="U34" i="10"/>
  <c r="S34" i="10"/>
  <c r="R34" i="10"/>
  <c r="Q34" i="10"/>
  <c r="O34" i="10"/>
  <c r="N34" i="10"/>
  <c r="M34" i="10"/>
  <c r="K34" i="10"/>
  <c r="J34" i="10"/>
  <c r="U33" i="10"/>
  <c r="S33" i="5" s="1"/>
  <c r="S33" i="10"/>
  <c r="R33" i="10"/>
  <c r="Q33" i="10"/>
  <c r="O33" i="10"/>
  <c r="N33" i="10"/>
  <c r="M33" i="10"/>
  <c r="K33" i="10"/>
  <c r="J33" i="10"/>
  <c r="U32" i="10"/>
  <c r="S77" i="7" s="1"/>
  <c r="T77" i="7" s="1"/>
  <c r="S32" i="10"/>
  <c r="R32" i="10"/>
  <c r="Q32" i="10"/>
  <c r="Q77" i="7" s="1"/>
  <c r="Q78" i="7" s="1"/>
  <c r="O32" i="10"/>
  <c r="N32" i="10"/>
  <c r="M32" i="10"/>
  <c r="M77" i="7" s="1"/>
  <c r="K32" i="10"/>
  <c r="J32" i="10"/>
  <c r="U31" i="10"/>
  <c r="S31" i="10"/>
  <c r="R31" i="10"/>
  <c r="Q31" i="10"/>
  <c r="Q65" i="7" s="1"/>
  <c r="Q68" i="7" s="1"/>
  <c r="O31" i="10"/>
  <c r="N31" i="10"/>
  <c r="M31" i="10"/>
  <c r="M65" i="7" s="1"/>
  <c r="K31" i="10"/>
  <c r="J31" i="10"/>
  <c r="U30" i="10"/>
  <c r="S30" i="10"/>
  <c r="R30" i="10"/>
  <c r="Q30" i="10"/>
  <c r="O30" i="10"/>
  <c r="N30" i="10"/>
  <c r="M30" i="10"/>
  <c r="K30" i="10"/>
  <c r="J30" i="10"/>
  <c r="U29" i="10"/>
  <c r="S99" i="9" s="1"/>
  <c r="T99" i="9" s="1"/>
  <c r="S29" i="10"/>
  <c r="R29" i="10"/>
  <c r="Q29" i="10"/>
  <c r="Q99" i="9" s="1"/>
  <c r="O29" i="10"/>
  <c r="N29" i="10"/>
  <c r="M29" i="10"/>
  <c r="K29" i="10"/>
  <c r="J29" i="10"/>
  <c r="U28" i="10"/>
  <c r="S81" i="9" s="1"/>
  <c r="S28" i="10"/>
  <c r="R28" i="10"/>
  <c r="Q28" i="10"/>
  <c r="Q81" i="9" s="1"/>
  <c r="O28" i="10"/>
  <c r="N28" i="10"/>
  <c r="M28" i="10"/>
  <c r="K28" i="10"/>
  <c r="J28" i="10"/>
  <c r="U27" i="10"/>
  <c r="S27" i="10"/>
  <c r="R27" i="10"/>
  <c r="Q27" i="10"/>
  <c r="P27" i="10" s="1"/>
  <c r="O27" i="10"/>
  <c r="N27" i="10"/>
  <c r="M27" i="10"/>
  <c r="M51" i="8" s="1"/>
  <c r="N51" i="8" s="1"/>
  <c r="P51" i="8" s="1"/>
  <c r="K27" i="10"/>
  <c r="J27" i="10"/>
  <c r="U26" i="10"/>
  <c r="S25" i="8" s="1"/>
  <c r="S26" i="10"/>
  <c r="R26" i="10"/>
  <c r="Q26" i="10"/>
  <c r="O26" i="10"/>
  <c r="N26" i="10"/>
  <c r="M26" i="10"/>
  <c r="L26" i="10" s="1"/>
  <c r="K26" i="10"/>
  <c r="J26" i="10"/>
  <c r="U25" i="10"/>
  <c r="S25" i="10"/>
  <c r="R25" i="10"/>
  <c r="Q25" i="10"/>
  <c r="Q55" i="5" s="1"/>
  <c r="Q56" i="5" s="1"/>
  <c r="O25" i="10"/>
  <c r="N25" i="10"/>
  <c r="M25" i="10"/>
  <c r="M55" i="5" s="1"/>
  <c r="K25" i="10"/>
  <c r="J25" i="10"/>
  <c r="U24" i="10"/>
  <c r="S24" i="10"/>
  <c r="R24" i="10"/>
  <c r="Q24" i="10"/>
  <c r="O24" i="10"/>
  <c r="N24" i="10"/>
  <c r="M24" i="10"/>
  <c r="M161" i="6" s="1"/>
  <c r="M162" i="6" s="1"/>
  <c r="K24" i="10"/>
  <c r="J24" i="10"/>
  <c r="U23" i="10"/>
  <c r="S23" i="10"/>
  <c r="R23" i="10"/>
  <c r="Q23" i="10"/>
  <c r="O23" i="10"/>
  <c r="N23" i="10"/>
  <c r="M23" i="10"/>
  <c r="L23" i="10" s="1"/>
  <c r="K23" i="10"/>
  <c r="J23" i="10"/>
  <c r="U22" i="10"/>
  <c r="S145" i="9" s="1"/>
  <c r="T145" i="9" s="1"/>
  <c r="S22" i="10"/>
  <c r="R22" i="10"/>
  <c r="Q22" i="10"/>
  <c r="Q145" i="9" s="1"/>
  <c r="O22" i="10"/>
  <c r="N22" i="10"/>
  <c r="M22" i="10"/>
  <c r="K22" i="10"/>
  <c r="J22" i="10"/>
  <c r="U21" i="10"/>
  <c r="S21" i="10"/>
  <c r="R21" i="10"/>
  <c r="Q21" i="10"/>
  <c r="O21" i="10"/>
  <c r="N21" i="10"/>
  <c r="M21" i="10"/>
  <c r="K21" i="10"/>
  <c r="J21" i="10"/>
  <c r="L21" i="10" s="1"/>
  <c r="U20" i="10"/>
  <c r="S20" i="10"/>
  <c r="R20" i="10"/>
  <c r="Q20" i="10"/>
  <c r="O20" i="10"/>
  <c r="N20" i="10"/>
  <c r="M20" i="10"/>
  <c r="K20" i="10"/>
  <c r="J20" i="10"/>
  <c r="U19" i="10"/>
  <c r="S19" i="10"/>
  <c r="R19" i="10"/>
  <c r="Q19" i="10"/>
  <c r="O19" i="10"/>
  <c r="N19" i="10"/>
  <c r="M19" i="10"/>
  <c r="K19" i="10"/>
  <c r="J19" i="10"/>
  <c r="U18" i="10"/>
  <c r="T18" i="10" s="1"/>
  <c r="S18" i="10"/>
  <c r="R18" i="10"/>
  <c r="Q18" i="10"/>
  <c r="O18" i="10"/>
  <c r="P18" i="10" s="1"/>
  <c r="N18" i="10"/>
  <c r="M18" i="10"/>
  <c r="M93" i="7" s="1"/>
  <c r="K18" i="10"/>
  <c r="J18" i="10"/>
  <c r="U17" i="10"/>
  <c r="S17" i="10"/>
  <c r="R17" i="10"/>
  <c r="Q17" i="10"/>
  <c r="V17" i="10" s="1"/>
  <c r="O17" i="10"/>
  <c r="N17" i="10"/>
  <c r="M17" i="10"/>
  <c r="K17" i="10"/>
  <c r="J17" i="10"/>
  <c r="U16" i="10"/>
  <c r="S16" i="10"/>
  <c r="R16" i="10"/>
  <c r="Q16" i="10"/>
  <c r="O16" i="10"/>
  <c r="N16" i="10"/>
  <c r="M16" i="10"/>
  <c r="M20" i="9" s="1"/>
  <c r="K16" i="10"/>
  <c r="J16" i="10"/>
  <c r="U15" i="10"/>
  <c r="S16" i="4" s="1"/>
  <c r="T16" i="4" s="1"/>
  <c r="S15" i="10"/>
  <c r="R15" i="10"/>
  <c r="Q15" i="10"/>
  <c r="Q16" i="4" s="1"/>
  <c r="Q20" i="4" s="1"/>
  <c r="Q52" i="1" s="1"/>
  <c r="O15" i="10"/>
  <c r="N15" i="10"/>
  <c r="M15" i="10"/>
  <c r="K15" i="10"/>
  <c r="J15" i="10"/>
  <c r="U14" i="10"/>
  <c r="S48" i="9" s="1"/>
  <c r="T48" i="9" s="1"/>
  <c r="S14" i="10"/>
  <c r="R14" i="10"/>
  <c r="Q14" i="10"/>
  <c r="O14" i="10"/>
  <c r="N14" i="10"/>
  <c r="M14" i="10"/>
  <c r="K14" i="10"/>
  <c r="J14" i="10"/>
  <c r="U13" i="10"/>
  <c r="S142" i="6" s="1"/>
  <c r="T142" i="6" s="1"/>
  <c r="S13" i="10"/>
  <c r="R13" i="10"/>
  <c r="Q13" i="10"/>
  <c r="P13" i="10" s="1"/>
  <c r="O13" i="10"/>
  <c r="N13" i="10"/>
  <c r="M13" i="10"/>
  <c r="M142" i="6" s="1"/>
  <c r="N142" i="6" s="1"/>
  <c r="K13" i="10"/>
  <c r="J13" i="10"/>
  <c r="U12" i="10"/>
  <c r="S31" i="2" s="1"/>
  <c r="T31" i="2" s="1"/>
  <c r="S12" i="10"/>
  <c r="R12" i="10"/>
  <c r="Q12" i="10"/>
  <c r="O12" i="10"/>
  <c r="N12" i="10"/>
  <c r="M12" i="10"/>
  <c r="M31" i="2" s="1"/>
  <c r="K12" i="10"/>
  <c r="J12" i="10"/>
  <c r="U11" i="10"/>
  <c r="S72" i="9" s="1"/>
  <c r="T72" i="9" s="1"/>
  <c r="S11" i="10"/>
  <c r="R11" i="10"/>
  <c r="Q11" i="10"/>
  <c r="O11" i="10"/>
  <c r="N11" i="10"/>
  <c r="M11" i="10"/>
  <c r="K11" i="10"/>
  <c r="J11" i="10"/>
  <c r="U10" i="10"/>
  <c r="S10" i="10"/>
  <c r="R10" i="10"/>
  <c r="Q10" i="10"/>
  <c r="O10" i="10"/>
  <c r="N10" i="10"/>
  <c r="M10" i="10"/>
  <c r="M60" i="8" s="1"/>
  <c r="N60" i="8" s="1"/>
  <c r="P60" i="8" s="1"/>
  <c r="K10" i="10"/>
  <c r="J10" i="10"/>
  <c r="U9" i="10"/>
  <c r="S9" i="10"/>
  <c r="R9" i="10"/>
  <c r="Q9" i="10"/>
  <c r="V9" i="10" s="1"/>
  <c r="O9" i="10"/>
  <c r="N9" i="10"/>
  <c r="M9" i="10"/>
  <c r="K9" i="10"/>
  <c r="J9" i="10"/>
  <c r="G189" i="9"/>
  <c r="G188" i="9"/>
  <c r="G187" i="9"/>
  <c r="G186" i="9"/>
  <c r="G183" i="9"/>
  <c r="G182" i="9"/>
  <c r="G179" i="9"/>
  <c r="G178" i="9"/>
  <c r="G173" i="9"/>
  <c r="G152" i="9"/>
  <c r="S148" i="9"/>
  <c r="T148" i="9" s="1"/>
  <c r="U148" i="9" s="1"/>
  <c r="V148" i="9" s="1"/>
  <c r="P148" i="9"/>
  <c r="N148" i="9"/>
  <c r="G148" i="9"/>
  <c r="H146" i="9"/>
  <c r="E146" i="9"/>
  <c r="M145" i="9"/>
  <c r="N145" i="9" s="1"/>
  <c r="P145" i="9" s="1"/>
  <c r="J145" i="9"/>
  <c r="K145" i="9" s="1"/>
  <c r="C145" i="9"/>
  <c r="C146" i="9" s="1"/>
  <c r="W144" i="9"/>
  <c r="U144" i="9"/>
  <c r="N144" i="9"/>
  <c r="P144" i="9" s="1"/>
  <c r="V144" i="9" s="1"/>
  <c r="U143" i="9"/>
  <c r="V143" i="9" s="1"/>
  <c r="N143" i="9"/>
  <c r="P143" i="9" s="1"/>
  <c r="R142" i="9"/>
  <c r="Q142" i="9"/>
  <c r="M142" i="9"/>
  <c r="L142" i="9"/>
  <c r="K142" i="9"/>
  <c r="J142" i="9"/>
  <c r="I142" i="9"/>
  <c r="G142" i="9"/>
  <c r="F142" i="9"/>
  <c r="S141" i="9"/>
  <c r="S142" i="9" s="1"/>
  <c r="P141" i="9"/>
  <c r="N141" i="9"/>
  <c r="K141" i="9"/>
  <c r="U140" i="9"/>
  <c r="V140" i="9" s="1"/>
  <c r="T140" i="9"/>
  <c r="S140" i="9"/>
  <c r="P140" i="9"/>
  <c r="N140" i="9"/>
  <c r="K140" i="9"/>
  <c r="U139" i="9"/>
  <c r="N139" i="9"/>
  <c r="N142" i="9" s="1"/>
  <c r="P142" i="9" s="1"/>
  <c r="C139" i="9"/>
  <c r="C142" i="9" s="1"/>
  <c r="U138" i="9"/>
  <c r="N138" i="9"/>
  <c r="P138" i="9" s="1"/>
  <c r="V138" i="9" s="1"/>
  <c r="Q137" i="9"/>
  <c r="P137" i="9"/>
  <c r="N137" i="9"/>
  <c r="M137" i="9"/>
  <c r="L137" i="9"/>
  <c r="J137" i="9"/>
  <c r="I137" i="9"/>
  <c r="G137" i="9"/>
  <c r="F137" i="9"/>
  <c r="C137" i="9"/>
  <c r="S136" i="9"/>
  <c r="T136" i="9" s="1"/>
  <c r="U136" i="9" s="1"/>
  <c r="N136" i="9"/>
  <c r="P136" i="9" s="1"/>
  <c r="U135" i="9"/>
  <c r="V135" i="9" s="1"/>
  <c r="T135" i="9"/>
  <c r="S135" i="9"/>
  <c r="N135" i="9"/>
  <c r="P135" i="9" s="1"/>
  <c r="K135" i="9"/>
  <c r="U134" i="9"/>
  <c r="T134" i="9"/>
  <c r="S134" i="9"/>
  <c r="N134" i="9"/>
  <c r="P134" i="9" s="1"/>
  <c r="V134" i="9" s="1"/>
  <c r="K134" i="9"/>
  <c r="U133" i="9"/>
  <c r="V133" i="9" s="1"/>
  <c r="T133" i="9"/>
  <c r="R133" i="9"/>
  <c r="R137" i="9" s="1"/>
  <c r="N133" i="9"/>
  <c r="P133" i="9" s="1"/>
  <c r="K133" i="9"/>
  <c r="U132" i="9"/>
  <c r="T132" i="9"/>
  <c r="S132" i="9"/>
  <c r="N132" i="9"/>
  <c r="P132" i="9" s="1"/>
  <c r="K132" i="9"/>
  <c r="U131" i="9"/>
  <c r="V131" i="9" s="1"/>
  <c r="T131" i="9"/>
  <c r="T137" i="9" s="1"/>
  <c r="S131" i="9"/>
  <c r="S137" i="9" s="1"/>
  <c r="N131" i="9"/>
  <c r="P131" i="9" s="1"/>
  <c r="U130" i="9"/>
  <c r="V130" i="9" s="1"/>
  <c r="P130" i="9"/>
  <c r="N130" i="9"/>
  <c r="S129" i="9"/>
  <c r="R129" i="9"/>
  <c r="Q129" i="9"/>
  <c r="L129" i="9"/>
  <c r="L146" i="9" s="1"/>
  <c r="J129" i="9"/>
  <c r="I129" i="9"/>
  <c r="G129" i="9"/>
  <c r="F129" i="9"/>
  <c r="D129" i="9"/>
  <c r="C129" i="9"/>
  <c r="T128" i="9"/>
  <c r="U128" i="9" s="1"/>
  <c r="V128" i="9" s="1"/>
  <c r="S128" i="9"/>
  <c r="P128" i="9"/>
  <c r="N128" i="9"/>
  <c r="K128" i="9"/>
  <c r="T127" i="9"/>
  <c r="U127" i="9" s="1"/>
  <c r="V127" i="9" s="1"/>
  <c r="P127" i="9"/>
  <c r="N127" i="9"/>
  <c r="K127" i="9"/>
  <c r="U126" i="9"/>
  <c r="V126" i="9" s="1"/>
  <c r="T126" i="9"/>
  <c r="P126" i="9"/>
  <c r="N126" i="9"/>
  <c r="K126" i="9"/>
  <c r="T125" i="9"/>
  <c r="U125" i="9" s="1"/>
  <c r="V125" i="9" s="1"/>
  <c r="N125" i="9"/>
  <c r="P125" i="9" s="1"/>
  <c r="K125" i="9"/>
  <c r="T124" i="9"/>
  <c r="U124" i="9" s="1"/>
  <c r="N124" i="9"/>
  <c r="P124" i="9" s="1"/>
  <c r="K124" i="9"/>
  <c r="T123" i="9"/>
  <c r="U123" i="9" s="1"/>
  <c r="P123" i="9"/>
  <c r="N123" i="9"/>
  <c r="K123" i="9"/>
  <c r="V122" i="9"/>
  <c r="U122" i="9"/>
  <c r="T122" i="9"/>
  <c r="N122" i="9"/>
  <c r="P122" i="9" s="1"/>
  <c r="K122" i="9"/>
  <c r="U121" i="9"/>
  <c r="V121" i="9" s="1"/>
  <c r="T121" i="9"/>
  <c r="N121" i="9"/>
  <c r="P121" i="9" s="1"/>
  <c r="K121" i="9"/>
  <c r="T120" i="9"/>
  <c r="U120" i="9" s="1"/>
  <c r="V120" i="9" s="1"/>
  <c r="P120" i="9"/>
  <c r="N120" i="9"/>
  <c r="K120" i="9"/>
  <c r="U119" i="9"/>
  <c r="V119" i="9" s="1"/>
  <c r="T119" i="9"/>
  <c r="P119" i="9"/>
  <c r="N119" i="9"/>
  <c r="K119" i="9"/>
  <c r="U118" i="9"/>
  <c r="V118" i="9" s="1"/>
  <c r="T118" i="9"/>
  <c r="P118" i="9"/>
  <c r="N118" i="9"/>
  <c r="K118" i="9"/>
  <c r="T117" i="9"/>
  <c r="U117" i="9" s="1"/>
  <c r="N117" i="9"/>
  <c r="P117" i="9" s="1"/>
  <c r="K117" i="9"/>
  <c r="T116" i="9"/>
  <c r="U116" i="9" s="1"/>
  <c r="N116" i="9"/>
  <c r="P116" i="9" s="1"/>
  <c r="K116" i="9"/>
  <c r="T115" i="9"/>
  <c r="U115" i="9" s="1"/>
  <c r="P115" i="9"/>
  <c r="N115" i="9"/>
  <c r="K115" i="9"/>
  <c r="V114" i="9"/>
  <c r="U114" i="9"/>
  <c r="T114" i="9"/>
  <c r="N114" i="9"/>
  <c r="P114" i="9" s="1"/>
  <c r="K114" i="9"/>
  <c r="V113" i="9"/>
  <c r="U113" i="9"/>
  <c r="T113" i="9"/>
  <c r="N113" i="9"/>
  <c r="P113" i="9" s="1"/>
  <c r="K113" i="9"/>
  <c r="T112" i="9"/>
  <c r="U112" i="9" s="1"/>
  <c r="V112" i="9" s="1"/>
  <c r="P112" i="9"/>
  <c r="N112" i="9"/>
  <c r="K112" i="9"/>
  <c r="U111" i="9"/>
  <c r="V111" i="9" s="1"/>
  <c r="T111" i="9"/>
  <c r="P111" i="9"/>
  <c r="N111" i="9"/>
  <c r="K111" i="9"/>
  <c r="U110" i="9"/>
  <c r="V110" i="9" s="1"/>
  <c r="T110" i="9"/>
  <c r="P110" i="9"/>
  <c r="N110" i="9"/>
  <c r="K110" i="9"/>
  <c r="T109" i="9"/>
  <c r="U109" i="9" s="1"/>
  <c r="N109" i="9"/>
  <c r="P109" i="9" s="1"/>
  <c r="K109" i="9"/>
  <c r="T108" i="9"/>
  <c r="U108" i="9" s="1"/>
  <c r="V108" i="9" s="1"/>
  <c r="N108" i="9"/>
  <c r="P108" i="9" s="1"/>
  <c r="K108" i="9"/>
  <c r="T107" i="9"/>
  <c r="U107" i="9" s="1"/>
  <c r="P107" i="9"/>
  <c r="N107" i="9"/>
  <c r="K107" i="9"/>
  <c r="V106" i="9"/>
  <c r="U106" i="9"/>
  <c r="T106" i="9"/>
  <c r="N106" i="9"/>
  <c r="P106" i="9" s="1"/>
  <c r="K106" i="9"/>
  <c r="V105" i="9"/>
  <c r="U105" i="9"/>
  <c r="T105" i="9"/>
  <c r="N105" i="9"/>
  <c r="P105" i="9" s="1"/>
  <c r="K105" i="9"/>
  <c r="T104" i="9"/>
  <c r="S104" i="9"/>
  <c r="Q104" i="9"/>
  <c r="M104" i="9"/>
  <c r="M129" i="9" s="1"/>
  <c r="K104" i="9"/>
  <c r="V103" i="9"/>
  <c r="U103" i="9"/>
  <c r="P103" i="9"/>
  <c r="V102" i="9"/>
  <c r="U102" i="9"/>
  <c r="P102" i="9"/>
  <c r="V101" i="9"/>
  <c r="U101" i="9"/>
  <c r="P101" i="9"/>
  <c r="R100" i="9"/>
  <c r="L100" i="9"/>
  <c r="I100" i="9"/>
  <c r="G100" i="9"/>
  <c r="E100" i="9"/>
  <c r="D100" i="9"/>
  <c r="M99" i="9"/>
  <c r="M100" i="9" s="1"/>
  <c r="K99" i="9"/>
  <c r="W99" i="9" s="1"/>
  <c r="J99" i="9"/>
  <c r="J100" i="9" s="1"/>
  <c r="C99" i="9"/>
  <c r="C100" i="9" s="1"/>
  <c r="V98" i="9"/>
  <c r="U98" i="9"/>
  <c r="T98" i="9"/>
  <c r="N98" i="9"/>
  <c r="P98" i="9" s="1"/>
  <c r="K98" i="9"/>
  <c r="W98" i="9" s="1"/>
  <c r="T97" i="9"/>
  <c r="U97" i="9" s="1"/>
  <c r="V97" i="9" s="1"/>
  <c r="P97" i="9"/>
  <c r="N97" i="9"/>
  <c r="K97" i="9"/>
  <c r="U96" i="9"/>
  <c r="V96" i="9" s="1"/>
  <c r="T96" i="9"/>
  <c r="N96" i="9"/>
  <c r="P96" i="9" s="1"/>
  <c r="K96" i="9"/>
  <c r="T95" i="9"/>
  <c r="U95" i="9" s="1"/>
  <c r="V95" i="9" s="1"/>
  <c r="N95" i="9"/>
  <c r="P95" i="9" s="1"/>
  <c r="K95" i="9"/>
  <c r="T94" i="9"/>
  <c r="U94" i="9" s="1"/>
  <c r="N94" i="9"/>
  <c r="P94" i="9" s="1"/>
  <c r="K94" i="9"/>
  <c r="T93" i="9"/>
  <c r="U93" i="9" s="1"/>
  <c r="P93" i="9"/>
  <c r="N93" i="9"/>
  <c r="K93" i="9"/>
  <c r="V92" i="9"/>
  <c r="U92" i="9"/>
  <c r="T92" i="9"/>
  <c r="N92" i="9"/>
  <c r="P92" i="9" s="1"/>
  <c r="K92" i="9"/>
  <c r="U91" i="9"/>
  <c r="V91" i="9" s="1"/>
  <c r="T91" i="9"/>
  <c r="N91" i="9"/>
  <c r="P91" i="9" s="1"/>
  <c r="K91" i="9"/>
  <c r="T90" i="9"/>
  <c r="U90" i="9" s="1"/>
  <c r="V90" i="9" s="1"/>
  <c r="P90" i="9"/>
  <c r="N90" i="9"/>
  <c r="K90" i="9"/>
  <c r="W89" i="9"/>
  <c r="T89" i="9"/>
  <c r="U89" i="9" s="1"/>
  <c r="V89" i="9" s="1"/>
  <c r="P89" i="9"/>
  <c r="N89" i="9"/>
  <c r="K89" i="9"/>
  <c r="U88" i="9"/>
  <c r="V88" i="9" s="1"/>
  <c r="T88" i="9"/>
  <c r="P88" i="9"/>
  <c r="N88" i="9"/>
  <c r="K88" i="9"/>
  <c r="U87" i="9"/>
  <c r="V87" i="9" s="1"/>
  <c r="T87" i="9"/>
  <c r="P87" i="9"/>
  <c r="N87" i="9"/>
  <c r="K87" i="9"/>
  <c r="E87" i="9"/>
  <c r="W86" i="9"/>
  <c r="U86" i="9"/>
  <c r="V86" i="9" s="1"/>
  <c r="T86" i="9"/>
  <c r="P86" i="9"/>
  <c r="N86" i="9"/>
  <c r="T85" i="9"/>
  <c r="U85" i="9" s="1"/>
  <c r="N85" i="9"/>
  <c r="P85" i="9" s="1"/>
  <c r="V84" i="9"/>
  <c r="U84" i="9"/>
  <c r="T84" i="9"/>
  <c r="N84" i="9"/>
  <c r="P84" i="9" s="1"/>
  <c r="A84" i="9"/>
  <c r="A85" i="9" s="1"/>
  <c r="A87" i="9" s="1"/>
  <c r="A88" i="9" s="1"/>
  <c r="A89" i="9" s="1"/>
  <c r="A90" i="9" s="1"/>
  <c r="A91" i="9" s="1"/>
  <c r="A92" i="9" s="1"/>
  <c r="A93" i="9" s="1"/>
  <c r="A94" i="9" s="1"/>
  <c r="A95" i="9" s="1"/>
  <c r="A96" i="9" s="1"/>
  <c r="A97" i="9" s="1"/>
  <c r="A99" i="9" s="1"/>
  <c r="A100" i="9" s="1"/>
  <c r="A101" i="9" s="1"/>
  <c r="A102" i="9" s="1"/>
  <c r="A103" i="9" s="1"/>
  <c r="A104" i="9" s="1"/>
  <c r="A105" i="9" s="1"/>
  <c r="A106" i="9" s="1"/>
  <c r="A107" i="9" s="1"/>
  <c r="A108" i="9" s="1"/>
  <c r="A109" i="9" s="1"/>
  <c r="A110" i="9" s="1"/>
  <c r="A111" i="9" s="1"/>
  <c r="A112" i="9" s="1"/>
  <c r="A113" i="9" s="1"/>
  <c r="A114" i="9" s="1"/>
  <c r="A115" i="9" s="1"/>
  <c r="A116" i="9" s="1"/>
  <c r="A117" i="9" s="1"/>
  <c r="A118" i="9" s="1"/>
  <c r="A119" i="9" s="1"/>
  <c r="A120" i="9" s="1"/>
  <c r="A121" i="9" s="1"/>
  <c r="A122" i="9" s="1"/>
  <c r="A123" i="9" s="1"/>
  <c r="A124" i="9" s="1"/>
  <c r="A125" i="9" s="1"/>
  <c r="A126" i="9" s="1"/>
  <c r="A127" i="9" s="1"/>
  <c r="A128" i="9" s="1"/>
  <c r="A129" i="9" s="1"/>
  <c r="A130" i="9" s="1"/>
  <c r="A131" i="9" s="1"/>
  <c r="A132" i="9" s="1"/>
  <c r="A133" i="9" s="1"/>
  <c r="A134" i="9" s="1"/>
  <c r="A135" i="9" s="1"/>
  <c r="A137" i="9" s="1"/>
  <c r="A138" i="9" s="1"/>
  <c r="A139" i="9" s="1"/>
  <c r="A140" i="9" s="1"/>
  <c r="A141" i="9" s="1"/>
  <c r="A142" i="9" s="1"/>
  <c r="A143" i="9" s="1"/>
  <c r="A145" i="9" s="1"/>
  <c r="A146" i="9" s="1"/>
  <c r="A147" i="9" s="1"/>
  <c r="U83" i="9"/>
  <c r="V83" i="9" s="1"/>
  <c r="P83" i="9"/>
  <c r="N83" i="9"/>
  <c r="R82" i="9"/>
  <c r="L82" i="9"/>
  <c r="J82" i="9"/>
  <c r="I82" i="9"/>
  <c r="K80" i="9" s="1"/>
  <c r="W80" i="9" s="1"/>
  <c r="H82" i="9"/>
  <c r="G82" i="9"/>
  <c r="E82" i="9"/>
  <c r="A82" i="9"/>
  <c r="A83" i="9" s="1"/>
  <c r="M81" i="9"/>
  <c r="N81" i="9" s="1"/>
  <c r="P81" i="9" s="1"/>
  <c r="K81" i="9"/>
  <c r="W81" i="9" s="1"/>
  <c r="J81" i="9"/>
  <c r="C81" i="9"/>
  <c r="AA80" i="9"/>
  <c r="U80" i="9"/>
  <c r="V80" i="9" s="1"/>
  <c r="T80" i="9"/>
  <c r="P80" i="9"/>
  <c r="N80" i="9"/>
  <c r="W79" i="9"/>
  <c r="T79" i="9"/>
  <c r="U79" i="9" s="1"/>
  <c r="V79" i="9" s="1"/>
  <c r="P79" i="9"/>
  <c r="N79" i="9"/>
  <c r="M79" i="9"/>
  <c r="K79" i="9"/>
  <c r="C79" i="9"/>
  <c r="W78" i="9"/>
  <c r="T78" i="9"/>
  <c r="U78" i="9" s="1"/>
  <c r="V78" i="9" s="1"/>
  <c r="P78" i="9"/>
  <c r="N78" i="9"/>
  <c r="K78" i="9"/>
  <c r="W77" i="9"/>
  <c r="T77" i="9"/>
  <c r="P77" i="9"/>
  <c r="N77" i="9"/>
  <c r="K77" i="9"/>
  <c r="U76" i="9"/>
  <c r="V76" i="9" s="1"/>
  <c r="P76" i="9"/>
  <c r="N76" i="9"/>
  <c r="A76" i="9"/>
  <c r="A77" i="9" s="1"/>
  <c r="U75" i="9"/>
  <c r="N75" i="9"/>
  <c r="P75" i="9" s="1"/>
  <c r="V75" i="9" s="1"/>
  <c r="A75" i="9"/>
  <c r="R74" i="9"/>
  <c r="Q74" i="9"/>
  <c r="L74" i="9"/>
  <c r="I74" i="9"/>
  <c r="K73" i="9" s="1"/>
  <c r="H74" i="9"/>
  <c r="H147" i="9" s="1"/>
  <c r="G74" i="9"/>
  <c r="D74" i="9"/>
  <c r="A74" i="9"/>
  <c r="W73" i="9"/>
  <c r="T73" i="9"/>
  <c r="U73" i="9" s="1"/>
  <c r="V73" i="9" s="1"/>
  <c r="P73" i="9"/>
  <c r="N73" i="9"/>
  <c r="Q72" i="9"/>
  <c r="M72" i="9"/>
  <c r="N72" i="9" s="1"/>
  <c r="P72" i="9" s="1"/>
  <c r="J72" i="9"/>
  <c r="J74" i="9" s="1"/>
  <c r="C72" i="9"/>
  <c r="C74" i="9" s="1"/>
  <c r="S71" i="9"/>
  <c r="T71" i="9" s="1"/>
  <c r="U71" i="9" s="1"/>
  <c r="N71" i="9"/>
  <c r="P71" i="9" s="1"/>
  <c r="K71" i="9"/>
  <c r="W71" i="9" s="1"/>
  <c r="S70" i="9"/>
  <c r="N70" i="9"/>
  <c r="P70" i="9" s="1"/>
  <c r="K70" i="9"/>
  <c r="E70" i="9"/>
  <c r="U69" i="9"/>
  <c r="N69" i="9"/>
  <c r="P69" i="9" s="1"/>
  <c r="V69" i="9" s="1"/>
  <c r="A69" i="9"/>
  <c r="U68" i="9"/>
  <c r="V68" i="9" s="1"/>
  <c r="N68" i="9"/>
  <c r="P68" i="9" s="1"/>
  <c r="A68" i="9"/>
  <c r="R67" i="9"/>
  <c r="H67" i="9"/>
  <c r="H149" i="9" s="1"/>
  <c r="G67" i="9"/>
  <c r="E67" i="9"/>
  <c r="D67" i="9"/>
  <c r="U66" i="9"/>
  <c r="V66" i="9" s="1"/>
  <c r="T66" i="9"/>
  <c r="N66" i="9"/>
  <c r="P66" i="9" s="1"/>
  <c r="W65" i="9"/>
  <c r="S65" i="9"/>
  <c r="T65" i="9" s="1"/>
  <c r="Q65" i="9"/>
  <c r="M65" i="9"/>
  <c r="N65" i="9" s="1"/>
  <c r="P65" i="9" s="1"/>
  <c r="K65" i="9"/>
  <c r="F65" i="9"/>
  <c r="S64" i="9"/>
  <c r="T64" i="9" s="1"/>
  <c r="Q64" i="9"/>
  <c r="M64" i="9"/>
  <c r="N64" i="9" s="1"/>
  <c r="P64" i="9" s="1"/>
  <c r="J64" i="9"/>
  <c r="K64" i="9" s="1"/>
  <c r="W64" i="9" s="1"/>
  <c r="C64" i="9"/>
  <c r="T63" i="9"/>
  <c r="U63" i="9" s="1"/>
  <c r="V63" i="9" s="1"/>
  <c r="N63" i="9"/>
  <c r="P63" i="9" s="1"/>
  <c r="K63" i="9"/>
  <c r="W63" i="9" s="1"/>
  <c r="W62" i="9"/>
  <c r="U62" i="9"/>
  <c r="T62" i="9"/>
  <c r="N62" i="9"/>
  <c r="P62" i="9" s="1"/>
  <c r="K62" i="9"/>
  <c r="W61" i="9"/>
  <c r="T61" i="9"/>
  <c r="U61" i="9" s="1"/>
  <c r="L61" i="9"/>
  <c r="K61" i="9"/>
  <c r="I61" i="9"/>
  <c r="I67" i="9" s="1"/>
  <c r="K66" i="9" s="1"/>
  <c r="W66" i="9" s="1"/>
  <c r="W60" i="9"/>
  <c r="T60" i="9"/>
  <c r="U60" i="9" s="1"/>
  <c r="V60" i="9" s="1"/>
  <c r="N60" i="9"/>
  <c r="P60" i="9" s="1"/>
  <c r="K60" i="9"/>
  <c r="S59" i="9"/>
  <c r="T59" i="9" s="1"/>
  <c r="U59" i="9" s="1"/>
  <c r="V59" i="9" s="1"/>
  <c r="P59" i="9"/>
  <c r="N59" i="9"/>
  <c r="K59" i="9"/>
  <c r="F59" i="9"/>
  <c r="T58" i="9"/>
  <c r="U58" i="9" s="1"/>
  <c r="V58" i="9" s="1"/>
  <c r="P58" i="9"/>
  <c r="N58" i="9"/>
  <c r="K58" i="9"/>
  <c r="W58" i="9" s="1"/>
  <c r="S57" i="9"/>
  <c r="T57" i="9" s="1"/>
  <c r="P57" i="9"/>
  <c r="N57" i="9"/>
  <c r="K57" i="9"/>
  <c r="C57" i="9"/>
  <c r="C67" i="9" s="1"/>
  <c r="U56" i="9"/>
  <c r="P56" i="9"/>
  <c r="N56" i="9"/>
  <c r="U55" i="9"/>
  <c r="N55" i="9"/>
  <c r="P55" i="9" s="1"/>
  <c r="U54" i="9"/>
  <c r="P54" i="9"/>
  <c r="N54" i="9"/>
  <c r="U52" i="9"/>
  <c r="V52" i="9" s="1"/>
  <c r="T52" i="9"/>
  <c r="P52" i="9"/>
  <c r="N52" i="9"/>
  <c r="R51" i="9"/>
  <c r="L51" i="9"/>
  <c r="I51" i="9"/>
  <c r="G51" i="9"/>
  <c r="S50" i="9"/>
  <c r="T50" i="9" s="1"/>
  <c r="U50" i="9" s="1"/>
  <c r="Q50" i="9"/>
  <c r="M50" i="9"/>
  <c r="N50" i="9" s="1"/>
  <c r="P50" i="9" s="1"/>
  <c r="K50" i="9"/>
  <c r="W50" i="9" s="1"/>
  <c r="F50" i="9"/>
  <c r="A50" i="9"/>
  <c r="A51" i="9" s="1"/>
  <c r="A52" i="9" s="1"/>
  <c r="A53" i="9" s="1"/>
  <c r="A54" i="9" s="1"/>
  <c r="A55" i="9" s="1"/>
  <c r="A56" i="9" s="1"/>
  <c r="A57" i="9" s="1"/>
  <c r="A58" i="9" s="1"/>
  <c r="A59" i="9" s="1"/>
  <c r="A60" i="9" s="1"/>
  <c r="A61" i="9" s="1"/>
  <c r="A62" i="9" s="1"/>
  <c r="A63" i="9" s="1"/>
  <c r="S49" i="9"/>
  <c r="T49" i="9" s="1"/>
  <c r="J49" i="9"/>
  <c r="K49" i="9" s="1"/>
  <c r="W49" i="9" s="1"/>
  <c r="C49" i="9"/>
  <c r="Q48" i="9"/>
  <c r="M48" i="9"/>
  <c r="J48" i="9"/>
  <c r="C48" i="9"/>
  <c r="C51" i="9" s="1"/>
  <c r="C53" i="9" s="1"/>
  <c r="C57" i="1" s="1"/>
  <c r="U47" i="9"/>
  <c r="V47" i="9" s="1"/>
  <c r="T47" i="9"/>
  <c r="P47" i="9"/>
  <c r="N47" i="9"/>
  <c r="K47" i="9"/>
  <c r="F47" i="9"/>
  <c r="E47" i="9"/>
  <c r="E51" i="9" s="1"/>
  <c r="U46" i="9"/>
  <c r="P46" i="9"/>
  <c r="V46" i="9" s="1"/>
  <c r="N46" i="9"/>
  <c r="AA45" i="9"/>
  <c r="S45" i="9"/>
  <c r="R45" i="9"/>
  <c r="Q45" i="9"/>
  <c r="U45" i="9" s="1"/>
  <c r="M45" i="9"/>
  <c r="L45" i="9"/>
  <c r="J45" i="9"/>
  <c r="I45" i="9"/>
  <c r="H45" i="9"/>
  <c r="G45" i="9"/>
  <c r="F45" i="9"/>
  <c r="D45" i="9"/>
  <c r="W44" i="9"/>
  <c r="U44" i="9"/>
  <c r="V44" i="9" s="1"/>
  <c r="T44" i="9"/>
  <c r="P44" i="9"/>
  <c r="N44" i="9"/>
  <c r="K44" i="9"/>
  <c r="T43" i="9"/>
  <c r="U43" i="9" s="1"/>
  <c r="V43" i="9" s="1"/>
  <c r="N43" i="9"/>
  <c r="P43" i="9" s="1"/>
  <c r="K43" i="9"/>
  <c r="F43" i="9"/>
  <c r="E43" i="9"/>
  <c r="W43" i="9" s="1"/>
  <c r="A43" i="9"/>
  <c r="A45" i="9" s="1"/>
  <c r="A46" i="9" s="1"/>
  <c r="A47" i="9" s="1"/>
  <c r="A48" i="9" s="1"/>
  <c r="A49" i="9" s="1"/>
  <c r="T42" i="9"/>
  <c r="U42" i="9" s="1"/>
  <c r="N42" i="9"/>
  <c r="P42" i="9" s="1"/>
  <c r="K42" i="9"/>
  <c r="E42" i="9"/>
  <c r="W42" i="9" s="1"/>
  <c r="A42" i="9"/>
  <c r="U41" i="9"/>
  <c r="V41" i="9" s="1"/>
  <c r="T41" i="9"/>
  <c r="P41" i="9"/>
  <c r="N41" i="9"/>
  <c r="K41" i="9"/>
  <c r="W41" i="9" s="1"/>
  <c r="W40" i="9"/>
  <c r="T40" i="9"/>
  <c r="U40" i="9" s="1"/>
  <c r="V40" i="9" s="1"/>
  <c r="P40" i="9"/>
  <c r="N40" i="9"/>
  <c r="K40" i="9"/>
  <c r="F40" i="9"/>
  <c r="W39" i="9"/>
  <c r="T39" i="9"/>
  <c r="U39" i="9" s="1"/>
  <c r="V39" i="9" s="1"/>
  <c r="P39" i="9"/>
  <c r="N39" i="9"/>
  <c r="K39" i="9"/>
  <c r="W38" i="9"/>
  <c r="U38" i="9"/>
  <c r="V38" i="9" s="1"/>
  <c r="T38" i="9"/>
  <c r="P38" i="9"/>
  <c r="N38" i="9"/>
  <c r="K38" i="9"/>
  <c r="U37" i="9"/>
  <c r="V37" i="9" s="1"/>
  <c r="T37" i="9"/>
  <c r="P37" i="9"/>
  <c r="N37" i="9"/>
  <c r="N45" i="9" s="1"/>
  <c r="P45" i="9" s="1"/>
  <c r="K37" i="9"/>
  <c r="F37" i="9"/>
  <c r="E37" i="9"/>
  <c r="E45" i="9" s="1"/>
  <c r="U36" i="9"/>
  <c r="V36" i="9" s="1"/>
  <c r="T36" i="9"/>
  <c r="T45" i="9" s="1"/>
  <c r="P36" i="9"/>
  <c r="N36" i="9"/>
  <c r="K36" i="9"/>
  <c r="T35" i="9"/>
  <c r="U35" i="9" s="1"/>
  <c r="V35" i="9" s="1"/>
  <c r="P35" i="9"/>
  <c r="N35" i="9"/>
  <c r="V34" i="9"/>
  <c r="U34" i="9"/>
  <c r="P34" i="9"/>
  <c r="N34" i="9"/>
  <c r="AA33" i="9"/>
  <c r="AA53" i="9" s="1"/>
  <c r="S33" i="9"/>
  <c r="R33" i="9"/>
  <c r="R53" i="9" s="1"/>
  <c r="Q33" i="9"/>
  <c r="M33" i="9"/>
  <c r="L33" i="9"/>
  <c r="L53" i="9" s="1"/>
  <c r="J33" i="9"/>
  <c r="I33" i="9"/>
  <c r="I53" i="9" s="1"/>
  <c r="G33" i="9"/>
  <c r="G53" i="9" s="1"/>
  <c r="F33" i="9"/>
  <c r="E33" i="9"/>
  <c r="E53" i="9" s="1"/>
  <c r="D33" i="9"/>
  <c r="D53" i="9" s="1"/>
  <c r="T32" i="9"/>
  <c r="U32" i="9" s="1"/>
  <c r="V32" i="9" s="1"/>
  <c r="P32" i="9"/>
  <c r="N32" i="9"/>
  <c r="W31" i="9"/>
  <c r="U31" i="9"/>
  <c r="T31" i="9"/>
  <c r="N31" i="9"/>
  <c r="P31" i="9" s="1"/>
  <c r="K31" i="9"/>
  <c r="W30" i="9"/>
  <c r="U30" i="9"/>
  <c r="V30" i="9" s="1"/>
  <c r="T30" i="9"/>
  <c r="N30" i="9"/>
  <c r="P30" i="9" s="1"/>
  <c r="K30" i="9"/>
  <c r="W29" i="9"/>
  <c r="U29" i="9"/>
  <c r="T29" i="9"/>
  <c r="N29" i="9"/>
  <c r="P29" i="9" s="1"/>
  <c r="K29" i="9"/>
  <c r="W28" i="9"/>
  <c r="U28" i="9"/>
  <c r="T28" i="9"/>
  <c r="N28" i="9"/>
  <c r="P28" i="9" s="1"/>
  <c r="K28" i="9"/>
  <c r="W27" i="9"/>
  <c r="U27" i="9"/>
  <c r="V27" i="9" s="1"/>
  <c r="T27" i="9"/>
  <c r="T33" i="9" s="1"/>
  <c r="U33" i="9" s="1"/>
  <c r="N27" i="9"/>
  <c r="P27" i="9" s="1"/>
  <c r="K27" i="9"/>
  <c r="F27" i="9"/>
  <c r="T26" i="9"/>
  <c r="U26" i="9" s="1"/>
  <c r="N26" i="9"/>
  <c r="P26" i="9" s="1"/>
  <c r="U25" i="9"/>
  <c r="N25" i="9"/>
  <c r="P25" i="9" s="1"/>
  <c r="U24" i="9"/>
  <c r="N24" i="9"/>
  <c r="P24" i="9" s="1"/>
  <c r="AA23" i="9"/>
  <c r="Z23" i="9"/>
  <c r="Z149" i="9" s="1"/>
  <c r="R23" i="9"/>
  <c r="I23" i="9"/>
  <c r="K22" i="9" s="1"/>
  <c r="W22" i="9" s="1"/>
  <c r="H23" i="9"/>
  <c r="G23" i="9"/>
  <c r="E23" i="9"/>
  <c r="D23" i="9"/>
  <c r="T22" i="9"/>
  <c r="U22" i="9" s="1"/>
  <c r="V22" i="9" s="1"/>
  <c r="N22" i="9"/>
  <c r="P22" i="9" s="1"/>
  <c r="U21" i="9"/>
  <c r="T21" i="9"/>
  <c r="N21" i="9"/>
  <c r="P21" i="9" s="1"/>
  <c r="V21" i="9" s="1"/>
  <c r="S20" i="9"/>
  <c r="S23" i="9" s="1"/>
  <c r="Q20" i="9"/>
  <c r="Q23" i="9" s="1"/>
  <c r="J20" i="9"/>
  <c r="J23" i="9" s="1"/>
  <c r="C20" i="9"/>
  <c r="C23" i="9" s="1"/>
  <c r="W19" i="9"/>
  <c r="U19" i="9"/>
  <c r="T19" i="9"/>
  <c r="N19" i="9"/>
  <c r="P19" i="9" s="1"/>
  <c r="K19" i="9"/>
  <c r="T18" i="9"/>
  <c r="U18" i="9" s="1"/>
  <c r="V18" i="9" s="1"/>
  <c r="P18" i="9"/>
  <c r="N18" i="9"/>
  <c r="K18" i="9"/>
  <c r="W18" i="9" s="1"/>
  <c r="W17" i="9"/>
  <c r="U17" i="9"/>
  <c r="T17" i="9"/>
  <c r="N17" i="9"/>
  <c r="P17" i="9" s="1"/>
  <c r="K17" i="9"/>
  <c r="W16" i="9"/>
  <c r="T16" i="9"/>
  <c r="U16" i="9" s="1"/>
  <c r="V16" i="9" s="1"/>
  <c r="P16" i="9"/>
  <c r="N16" i="9"/>
  <c r="K16" i="9"/>
  <c r="W15" i="9"/>
  <c r="U15" i="9"/>
  <c r="T15" i="9"/>
  <c r="N15" i="9"/>
  <c r="P15" i="9" s="1"/>
  <c r="K15" i="9"/>
  <c r="T14" i="9"/>
  <c r="U14" i="9" s="1"/>
  <c r="V14" i="9" s="1"/>
  <c r="P14" i="9"/>
  <c r="N14" i="9"/>
  <c r="K14" i="9"/>
  <c r="W14" i="9" s="1"/>
  <c r="W13" i="9"/>
  <c r="U13" i="9"/>
  <c r="T13" i="9"/>
  <c r="N13" i="9"/>
  <c r="P13" i="9" s="1"/>
  <c r="K13" i="9"/>
  <c r="W12" i="9"/>
  <c r="T12" i="9"/>
  <c r="U12" i="9" s="1"/>
  <c r="V12" i="9" s="1"/>
  <c r="P12" i="9"/>
  <c r="N12" i="9"/>
  <c r="K12" i="9"/>
  <c r="W11" i="9"/>
  <c r="U11" i="9"/>
  <c r="T11" i="9"/>
  <c r="N11" i="9"/>
  <c r="P11" i="9" s="1"/>
  <c r="K11" i="9"/>
  <c r="W10" i="9"/>
  <c r="U10" i="9"/>
  <c r="T10" i="9"/>
  <c r="L10" i="9"/>
  <c r="L23" i="9" s="1"/>
  <c r="K10" i="9"/>
  <c r="I10" i="9"/>
  <c r="W9" i="9"/>
  <c r="T9" i="9"/>
  <c r="U9" i="9" s="1"/>
  <c r="V9" i="9" s="1"/>
  <c r="P9" i="9"/>
  <c r="N9" i="9"/>
  <c r="K9" i="9"/>
  <c r="W8" i="9"/>
  <c r="T8" i="9"/>
  <c r="U8" i="9" s="1"/>
  <c r="V8" i="9" s="1"/>
  <c r="P8" i="9"/>
  <c r="N8" i="9"/>
  <c r="W7" i="9"/>
  <c r="U7" i="9"/>
  <c r="T7" i="9"/>
  <c r="N7" i="9"/>
  <c r="P7" i="9" s="1"/>
  <c r="G173" i="8"/>
  <c r="G172" i="8"/>
  <c r="G171" i="8"/>
  <c r="G170" i="8"/>
  <c r="G167" i="8"/>
  <c r="G166" i="8"/>
  <c r="G163" i="8"/>
  <c r="G162" i="8"/>
  <c r="G157" i="8"/>
  <c r="V150" i="8"/>
  <c r="V149" i="8"/>
  <c r="V148" i="8"/>
  <c r="V147" i="8"/>
  <c r="V146" i="8"/>
  <c r="V145" i="8"/>
  <c r="V144" i="8"/>
  <c r="V143" i="8"/>
  <c r="V142" i="8"/>
  <c r="V141" i="8"/>
  <c r="V140" i="8"/>
  <c r="V139" i="8"/>
  <c r="V138" i="8"/>
  <c r="V137" i="8"/>
  <c r="V136" i="8"/>
  <c r="V135" i="8"/>
  <c r="V134" i="8"/>
  <c r="V133" i="8"/>
  <c r="V132" i="8"/>
  <c r="G132" i="8"/>
  <c r="V131" i="8"/>
  <c r="V130" i="8"/>
  <c r="V129" i="8"/>
  <c r="V128" i="8"/>
  <c r="V127" i="8"/>
  <c r="V126" i="8"/>
  <c r="V125" i="8"/>
  <c r="V124" i="8"/>
  <c r="V123" i="8"/>
  <c r="V122" i="8"/>
  <c r="V121" i="8"/>
  <c r="V120" i="8"/>
  <c r="V119" i="8"/>
  <c r="V118" i="8"/>
  <c r="V117" i="8"/>
  <c r="V116" i="8"/>
  <c r="V115" i="8"/>
  <c r="V114" i="8"/>
  <c r="V113" i="8"/>
  <c r="V112" i="8"/>
  <c r="V111" i="8"/>
  <c r="V110" i="8"/>
  <c r="V109" i="8"/>
  <c r="V108" i="8"/>
  <c r="V107" i="8"/>
  <c r="V106" i="8"/>
  <c r="V105" i="8"/>
  <c r="V104" i="8"/>
  <c r="V103" i="8"/>
  <c r="V102" i="8"/>
  <c r="V101" i="8"/>
  <c r="V100" i="8"/>
  <c r="V99" i="8"/>
  <c r="V98" i="8"/>
  <c r="V97" i="8"/>
  <c r="V96" i="8"/>
  <c r="V95" i="8"/>
  <c r="V94" i="8"/>
  <c r="V93" i="8"/>
  <c r="V92" i="8"/>
  <c r="V91" i="8"/>
  <c r="V90" i="8"/>
  <c r="V89" i="8"/>
  <c r="V88" i="8"/>
  <c r="V87" i="8"/>
  <c r="V86" i="8"/>
  <c r="V85" i="8"/>
  <c r="V84" i="8"/>
  <c r="V83" i="8"/>
  <c r="V82" i="8"/>
  <c r="V81" i="8"/>
  <c r="V80" i="8"/>
  <c r="V79" i="8"/>
  <c r="V78" i="8"/>
  <c r="V77" i="8"/>
  <c r="V76" i="8"/>
  <c r="V75" i="8"/>
  <c r="V74" i="8"/>
  <c r="V73" i="8"/>
  <c r="V72" i="8"/>
  <c r="V71" i="8"/>
  <c r="V70" i="8"/>
  <c r="V69" i="8"/>
  <c r="V68" i="8"/>
  <c r="V67" i="8"/>
  <c r="V66" i="8"/>
  <c r="V65" i="8"/>
  <c r="V64" i="8"/>
  <c r="P62" i="8"/>
  <c r="V62" i="8" s="1"/>
  <c r="N62" i="8"/>
  <c r="Y61" i="8"/>
  <c r="S61" i="8"/>
  <c r="R61" i="8"/>
  <c r="L61" i="8"/>
  <c r="I61" i="8"/>
  <c r="H61" i="8"/>
  <c r="G61" i="8"/>
  <c r="E61" i="8"/>
  <c r="D61" i="8"/>
  <c r="S60" i="8"/>
  <c r="T60" i="8" s="1"/>
  <c r="J60" i="8"/>
  <c r="K60" i="8" s="1"/>
  <c r="W60" i="8" s="1"/>
  <c r="C60" i="8"/>
  <c r="C61" i="8" s="1"/>
  <c r="T59" i="8"/>
  <c r="U59" i="8" s="1"/>
  <c r="U58" i="8"/>
  <c r="V58" i="8" s="1"/>
  <c r="T58" i="8"/>
  <c r="N58" i="8"/>
  <c r="P58" i="8" s="1"/>
  <c r="K58" i="8"/>
  <c r="W58" i="8" s="1"/>
  <c r="W57" i="8"/>
  <c r="T57" i="8"/>
  <c r="U57" i="8" s="1"/>
  <c r="V57" i="8" s="1"/>
  <c r="P57" i="8"/>
  <c r="N57" i="8"/>
  <c r="K57" i="8"/>
  <c r="T56" i="8"/>
  <c r="Q56" i="8"/>
  <c r="M56" i="8"/>
  <c r="K56" i="8"/>
  <c r="W56" i="8" s="1"/>
  <c r="U55" i="8"/>
  <c r="T55" i="8"/>
  <c r="N55" i="8"/>
  <c r="K55" i="8"/>
  <c r="W55" i="8" s="1"/>
  <c r="W54" i="8"/>
  <c r="P54" i="8"/>
  <c r="N54" i="8"/>
  <c r="W53" i="8"/>
  <c r="N53" i="8"/>
  <c r="P53" i="8" s="1"/>
  <c r="Y52" i="8"/>
  <c r="R52" i="8"/>
  <c r="L52" i="8"/>
  <c r="I52" i="8"/>
  <c r="K49" i="8" s="1"/>
  <c r="W49" i="8" s="1"/>
  <c r="D52" i="8"/>
  <c r="S51" i="8"/>
  <c r="T51" i="8" s="1"/>
  <c r="Q51" i="8"/>
  <c r="J51" i="8"/>
  <c r="K51" i="8" s="1"/>
  <c r="W51" i="8" s="1"/>
  <c r="E51" i="8"/>
  <c r="C51" i="8"/>
  <c r="C52" i="8" s="1"/>
  <c r="W50" i="8"/>
  <c r="U50" i="8"/>
  <c r="T50" i="8"/>
  <c r="N50" i="8"/>
  <c r="P50" i="8" s="1"/>
  <c r="T49" i="8"/>
  <c r="U49" i="8" s="1"/>
  <c r="V49" i="8" s="1"/>
  <c r="P49" i="8"/>
  <c r="N49" i="8"/>
  <c r="T48" i="8"/>
  <c r="U48" i="8" s="1"/>
  <c r="V48" i="8" s="1"/>
  <c r="N48" i="8"/>
  <c r="P48" i="8" s="1"/>
  <c r="K48" i="8"/>
  <c r="A48" i="8"/>
  <c r="A51" i="8" s="1"/>
  <c r="A52" i="8" s="1"/>
  <c r="A53" i="8" s="1"/>
  <c r="A54" i="8" s="1"/>
  <c r="A55" i="8" s="1"/>
  <c r="A56" i="8" s="1"/>
  <c r="A57" i="8" s="1"/>
  <c r="A60" i="8" s="1"/>
  <c r="A61" i="8" s="1"/>
  <c r="A62" i="8" s="1"/>
  <c r="A63" i="8" s="1"/>
  <c r="A6" i="9" s="1"/>
  <c r="A7" i="9" s="1"/>
  <c r="A8" i="9" s="1"/>
  <c r="A9" i="9" s="1"/>
  <c r="A10" i="9" s="1"/>
  <c r="A11" i="9" s="1"/>
  <c r="A12" i="9" s="1"/>
  <c r="A13" i="9" s="1"/>
  <c r="A14" i="9" s="1"/>
  <c r="A15" i="9" s="1"/>
  <c r="A16" i="9" s="1"/>
  <c r="A17" i="9" s="1"/>
  <c r="A18" i="9" s="1"/>
  <c r="A19" i="9" s="1"/>
  <c r="A20" i="9" s="1"/>
  <c r="A21" i="9" s="1"/>
  <c r="A23" i="9" s="1"/>
  <c r="A24" i="9" s="1"/>
  <c r="A25" i="9" s="1"/>
  <c r="A26" i="9" s="1"/>
  <c r="A27" i="9" s="1"/>
  <c r="A28" i="9" s="1"/>
  <c r="A29" i="9" s="1"/>
  <c r="A30" i="9" s="1"/>
  <c r="A31" i="9" s="1"/>
  <c r="A33" i="9" s="1"/>
  <c r="A34" i="9" s="1"/>
  <c r="A35" i="9" s="1"/>
  <c r="A36" i="9" s="1"/>
  <c r="A37" i="9" s="1"/>
  <c r="A38" i="9" s="1"/>
  <c r="W47" i="8"/>
  <c r="T47" i="8"/>
  <c r="U47" i="8" s="1"/>
  <c r="V47" i="8" s="1"/>
  <c r="P47" i="8"/>
  <c r="N47" i="8"/>
  <c r="K47" i="8"/>
  <c r="W46" i="8"/>
  <c r="T46" i="8"/>
  <c r="U46" i="8" s="1"/>
  <c r="N46" i="8"/>
  <c r="P46" i="8" s="1"/>
  <c r="U45" i="8"/>
  <c r="V45" i="8" s="1"/>
  <c r="T45" i="8"/>
  <c r="N45" i="8"/>
  <c r="P45" i="8" s="1"/>
  <c r="K45" i="8"/>
  <c r="W45" i="8" s="1"/>
  <c r="W44" i="8"/>
  <c r="T44" i="8"/>
  <c r="U44" i="8" s="1"/>
  <c r="V44" i="8" s="1"/>
  <c r="P44" i="8"/>
  <c r="N44" i="8"/>
  <c r="K44" i="8"/>
  <c r="W43" i="8"/>
  <c r="T43" i="8"/>
  <c r="U43" i="8" s="1"/>
  <c r="V43" i="8" s="1"/>
  <c r="P43" i="8"/>
  <c r="N43" i="8"/>
  <c r="K43" i="8"/>
  <c r="E43" i="8"/>
  <c r="A43" i="8"/>
  <c r="A44" i="8" s="1"/>
  <c r="U42" i="8"/>
  <c r="T42" i="8"/>
  <c r="M42" i="8"/>
  <c r="K42" i="8"/>
  <c r="E42" i="8"/>
  <c r="W42" i="8" s="1"/>
  <c r="U41" i="8"/>
  <c r="T41" i="8"/>
  <c r="N41" i="8"/>
  <c r="P41" i="8" s="1"/>
  <c r="V41" i="8" s="1"/>
  <c r="K41" i="8"/>
  <c r="W41" i="8" s="1"/>
  <c r="N40" i="8"/>
  <c r="K40" i="8"/>
  <c r="G40" i="8"/>
  <c r="G52" i="8" s="1"/>
  <c r="E40" i="8"/>
  <c r="W40" i="8" s="1"/>
  <c r="W39" i="8"/>
  <c r="T39" i="8"/>
  <c r="U39" i="8" s="1"/>
  <c r="V39" i="8" s="1"/>
  <c r="P39" i="8"/>
  <c r="N39" i="8"/>
  <c r="K39" i="8"/>
  <c r="T38" i="8"/>
  <c r="Q38" i="8"/>
  <c r="N38" i="8"/>
  <c r="P38" i="8" s="1"/>
  <c r="K38" i="8"/>
  <c r="W38" i="8" s="1"/>
  <c r="N37" i="8"/>
  <c r="P37" i="8" s="1"/>
  <c r="V37" i="8" s="1"/>
  <c r="N36" i="8"/>
  <c r="P36" i="8" s="1"/>
  <c r="V36" i="8" s="1"/>
  <c r="Y35" i="8"/>
  <c r="S35" i="8"/>
  <c r="R35" i="8"/>
  <c r="R63" i="8" s="1"/>
  <c r="Q35" i="8"/>
  <c r="M35" i="8"/>
  <c r="L35" i="8"/>
  <c r="J35" i="8"/>
  <c r="I35" i="8"/>
  <c r="G35" i="8"/>
  <c r="W35" i="8" s="1"/>
  <c r="F35" i="8"/>
  <c r="W34" i="8"/>
  <c r="U34" i="8"/>
  <c r="N34" i="8"/>
  <c r="P34" i="8" s="1"/>
  <c r="V34" i="8" s="1"/>
  <c r="K34" i="8"/>
  <c r="C34" i="8"/>
  <c r="C35" i="8" s="1"/>
  <c r="W33" i="8"/>
  <c r="T33" i="8"/>
  <c r="T35" i="8" s="1"/>
  <c r="P33" i="8"/>
  <c r="N33" i="8"/>
  <c r="M33" i="8"/>
  <c r="K33" i="8"/>
  <c r="W32" i="8"/>
  <c r="N32" i="8"/>
  <c r="P32" i="8" s="1"/>
  <c r="V32" i="8" s="1"/>
  <c r="W31" i="8"/>
  <c r="N31" i="8"/>
  <c r="P31" i="8" s="1"/>
  <c r="V31" i="8" s="1"/>
  <c r="W30" i="8"/>
  <c r="P30" i="8"/>
  <c r="V30" i="8" s="1"/>
  <c r="N30" i="8"/>
  <c r="W29" i="8"/>
  <c r="P29" i="8"/>
  <c r="V29" i="8" s="1"/>
  <c r="N29" i="8"/>
  <c r="Y28" i="8"/>
  <c r="Y63" i="8" s="1"/>
  <c r="R28" i="8"/>
  <c r="I28" i="8"/>
  <c r="G28" i="8"/>
  <c r="G63" i="8" s="1"/>
  <c r="E28" i="8"/>
  <c r="D28" i="8"/>
  <c r="D63" i="8" s="1"/>
  <c r="W27" i="8"/>
  <c r="N27" i="8"/>
  <c r="P27" i="8" s="1"/>
  <c r="V27" i="8" s="1"/>
  <c r="K27" i="8"/>
  <c r="T26" i="8"/>
  <c r="U26" i="8" s="1"/>
  <c r="P26" i="8"/>
  <c r="N26" i="8"/>
  <c r="Q25" i="8"/>
  <c r="K25" i="8"/>
  <c r="W25" i="8" s="1"/>
  <c r="J25" i="8"/>
  <c r="J28" i="8" s="1"/>
  <c r="C25" i="8"/>
  <c r="C28" i="8" s="1"/>
  <c r="U24" i="8"/>
  <c r="V24" i="8" s="1"/>
  <c r="T24" i="8"/>
  <c r="N24" i="8"/>
  <c r="P24" i="8" s="1"/>
  <c r="K24" i="8"/>
  <c r="W24" i="8" s="1"/>
  <c r="U23" i="8"/>
  <c r="V23" i="8" s="1"/>
  <c r="T23" i="8"/>
  <c r="N23" i="8"/>
  <c r="P23" i="8" s="1"/>
  <c r="K23" i="8"/>
  <c r="W23" i="8" s="1"/>
  <c r="A23" i="8"/>
  <c r="A24" i="8" s="1"/>
  <c r="A25" i="8" s="1"/>
  <c r="A26" i="8" s="1"/>
  <c r="A28" i="8" s="1"/>
  <c r="A29" i="8" s="1"/>
  <c r="A30" i="8" s="1"/>
  <c r="A32" i="8" s="1"/>
  <c r="A33" i="8" s="1"/>
  <c r="A34" i="8" s="1"/>
  <c r="A35" i="8" s="1"/>
  <c r="A36" i="8" s="1"/>
  <c r="A37" i="8" s="1"/>
  <c r="A38" i="8" s="1"/>
  <c r="A39" i="8" s="1"/>
  <c r="U22" i="8"/>
  <c r="V22" i="8" s="1"/>
  <c r="T22" i="8"/>
  <c r="L22" i="8"/>
  <c r="N22" i="8" s="1"/>
  <c r="P22" i="8" s="1"/>
  <c r="K22" i="8"/>
  <c r="W22" i="8" s="1"/>
  <c r="U21" i="8"/>
  <c r="T21" i="8"/>
  <c r="L21" i="8"/>
  <c r="K21" i="8"/>
  <c r="W21" i="8" s="1"/>
  <c r="A21" i="8"/>
  <c r="A22" i="8" s="1"/>
  <c r="W20" i="8"/>
  <c r="T20" i="8"/>
  <c r="U20" i="8" s="1"/>
  <c r="N20" i="8"/>
  <c r="P20" i="8" s="1"/>
  <c r="K20" i="8"/>
  <c r="V19" i="8"/>
  <c r="U19" i="8"/>
  <c r="T19" i="8"/>
  <c r="P19" i="8"/>
  <c r="K19" i="8"/>
  <c r="W19" i="8" s="1"/>
  <c r="V18" i="8"/>
  <c r="U18" i="8"/>
  <c r="T18" i="8"/>
  <c r="P18" i="8"/>
  <c r="N18" i="8"/>
  <c r="T17" i="8"/>
  <c r="U17" i="8" s="1"/>
  <c r="V17" i="8" s="1"/>
  <c r="P17" i="8"/>
  <c r="N17" i="8"/>
  <c r="U16" i="8"/>
  <c r="T16" i="8"/>
  <c r="N16" i="8"/>
  <c r="P16" i="8" s="1"/>
  <c r="V16" i="8" s="1"/>
  <c r="K16" i="8"/>
  <c r="W16" i="8" s="1"/>
  <c r="U15" i="8"/>
  <c r="V15" i="8" s="1"/>
  <c r="T15" i="8"/>
  <c r="N15" i="8"/>
  <c r="P15" i="8" s="1"/>
  <c r="K15" i="8"/>
  <c r="W15" i="8" s="1"/>
  <c r="T14" i="8"/>
  <c r="U14" i="8" s="1"/>
  <c r="V14" i="8" s="1"/>
  <c r="P14" i="8"/>
  <c r="N14" i="8"/>
  <c r="W13" i="8"/>
  <c r="T13" i="8"/>
  <c r="U13" i="8" s="1"/>
  <c r="V13" i="8" s="1"/>
  <c r="N13" i="8"/>
  <c r="P13" i="8" s="1"/>
  <c r="W12" i="8"/>
  <c r="T12" i="8"/>
  <c r="U12" i="8" s="1"/>
  <c r="N12" i="8"/>
  <c r="P12" i="8" s="1"/>
  <c r="K12" i="8"/>
  <c r="C12" i="8"/>
  <c r="U11" i="8"/>
  <c r="T11" i="8"/>
  <c r="N11" i="8"/>
  <c r="P11" i="8" s="1"/>
  <c r="V11" i="8" s="1"/>
  <c r="W10" i="8"/>
  <c r="T10" i="8"/>
  <c r="Q10" i="8"/>
  <c r="N10" i="8"/>
  <c r="P10" i="8" s="1"/>
  <c r="K10" i="8"/>
  <c r="T9" i="8"/>
  <c r="U9" i="8" s="1"/>
  <c r="V9" i="8" s="1"/>
  <c r="W8" i="8"/>
  <c r="U8" i="8"/>
  <c r="N8" i="8"/>
  <c r="L8" i="8"/>
  <c r="C8" i="8"/>
  <c r="P7" i="8"/>
  <c r="N7" i="8"/>
  <c r="G183" i="7"/>
  <c r="G182" i="7"/>
  <c r="G181" i="7"/>
  <c r="G180" i="7"/>
  <c r="G177" i="7"/>
  <c r="G176" i="7"/>
  <c r="G173" i="7"/>
  <c r="G172" i="7"/>
  <c r="G167" i="7"/>
  <c r="V149" i="7"/>
  <c r="V148" i="7"/>
  <c r="V147" i="7"/>
  <c r="V146" i="7"/>
  <c r="V145" i="7"/>
  <c r="V144" i="7"/>
  <c r="V143" i="7"/>
  <c r="V142" i="7"/>
  <c r="G142" i="7"/>
  <c r="V141" i="7"/>
  <c r="V140" i="7"/>
  <c r="V139" i="7"/>
  <c r="V138" i="7"/>
  <c r="V137" i="7"/>
  <c r="V136" i="7"/>
  <c r="V135" i="7"/>
  <c r="V134" i="7"/>
  <c r="V133" i="7"/>
  <c r="V132" i="7"/>
  <c r="V131" i="7"/>
  <c r="V130" i="7"/>
  <c r="V129" i="7"/>
  <c r="V128" i="7"/>
  <c r="V127" i="7"/>
  <c r="V126" i="7"/>
  <c r="V125" i="7"/>
  <c r="V124" i="7"/>
  <c r="V123" i="7"/>
  <c r="V122" i="7"/>
  <c r="V121" i="7"/>
  <c r="V120" i="7"/>
  <c r="V119" i="7"/>
  <c r="V118" i="7"/>
  <c r="V117" i="7"/>
  <c r="V116" i="7"/>
  <c r="V115" i="7"/>
  <c r="V114" i="7"/>
  <c r="M112" i="7"/>
  <c r="N112" i="7" s="1"/>
  <c r="P112" i="7" s="1"/>
  <c r="K112" i="7"/>
  <c r="F112" i="7"/>
  <c r="R111" i="7"/>
  <c r="N111" i="7"/>
  <c r="P111" i="7" s="1"/>
  <c r="M111" i="7"/>
  <c r="K111" i="7"/>
  <c r="F111" i="7"/>
  <c r="C111" i="7"/>
  <c r="C112" i="7" s="1"/>
  <c r="T110" i="7"/>
  <c r="U110" i="7" s="1"/>
  <c r="N110" i="7"/>
  <c r="P110" i="7" s="1"/>
  <c r="V110" i="7" s="1"/>
  <c r="K110" i="7"/>
  <c r="W110" i="7" s="1"/>
  <c r="T109" i="7"/>
  <c r="U109" i="7" s="1"/>
  <c r="N109" i="7"/>
  <c r="P109" i="7" s="1"/>
  <c r="V109" i="7" s="1"/>
  <c r="K109" i="7"/>
  <c r="W109" i="7" s="1"/>
  <c r="T108" i="7"/>
  <c r="U108" i="7" s="1"/>
  <c r="P108" i="7"/>
  <c r="V108" i="7" s="1"/>
  <c r="N108" i="7"/>
  <c r="K108" i="7"/>
  <c r="W108" i="7" s="1"/>
  <c r="U107" i="7"/>
  <c r="T107" i="7"/>
  <c r="N107" i="7"/>
  <c r="P107" i="7" s="1"/>
  <c r="V107" i="7" s="1"/>
  <c r="K107" i="7"/>
  <c r="W107" i="7" s="1"/>
  <c r="V106" i="7"/>
  <c r="U106" i="7"/>
  <c r="T106" i="7"/>
  <c r="K106" i="7"/>
  <c r="E106" i="7"/>
  <c r="N105" i="7"/>
  <c r="P105" i="7" s="1"/>
  <c r="K105" i="7"/>
  <c r="W105" i="7" s="1"/>
  <c r="W104" i="7"/>
  <c r="P104" i="7"/>
  <c r="V104" i="7" s="1"/>
  <c r="N104" i="7"/>
  <c r="W103" i="7"/>
  <c r="N103" i="7"/>
  <c r="P103" i="7" s="1"/>
  <c r="V103" i="7" s="1"/>
  <c r="Y102" i="7"/>
  <c r="S102" i="7"/>
  <c r="R102" i="7"/>
  <c r="Q102" i="7"/>
  <c r="M102" i="7"/>
  <c r="L102" i="7"/>
  <c r="J102" i="7"/>
  <c r="I102" i="7"/>
  <c r="H102" i="7"/>
  <c r="G102" i="7"/>
  <c r="W102" i="7" s="1"/>
  <c r="F102" i="7"/>
  <c r="E102" i="7"/>
  <c r="D102" i="7"/>
  <c r="C102" i="7"/>
  <c r="W101" i="7"/>
  <c r="T101" i="7"/>
  <c r="U101" i="7" s="1"/>
  <c r="N101" i="7"/>
  <c r="P101" i="7" s="1"/>
  <c r="V101" i="7" s="1"/>
  <c r="K101" i="7"/>
  <c r="W100" i="7"/>
  <c r="T100" i="7"/>
  <c r="U100" i="7" s="1"/>
  <c r="P100" i="7"/>
  <c r="N100" i="7"/>
  <c r="K100" i="7"/>
  <c r="W99" i="7"/>
  <c r="U99" i="7"/>
  <c r="T99" i="7"/>
  <c r="N99" i="7"/>
  <c r="P99" i="7" s="1"/>
  <c r="V99" i="7" s="1"/>
  <c r="K99" i="7"/>
  <c r="W98" i="7"/>
  <c r="U98" i="7"/>
  <c r="T98" i="7"/>
  <c r="N98" i="7"/>
  <c r="P98" i="7" s="1"/>
  <c r="V98" i="7" s="1"/>
  <c r="K98" i="7"/>
  <c r="W97" i="7"/>
  <c r="T97" i="7"/>
  <c r="T102" i="7" s="1"/>
  <c r="P97" i="7"/>
  <c r="N97" i="7"/>
  <c r="N102" i="7" s="1"/>
  <c r="P102" i="7" s="1"/>
  <c r="K97" i="7"/>
  <c r="K102" i="7" s="1"/>
  <c r="E97" i="7"/>
  <c r="W96" i="7"/>
  <c r="P96" i="7"/>
  <c r="V96" i="7" s="1"/>
  <c r="N96" i="7"/>
  <c r="W95" i="7"/>
  <c r="P95" i="7"/>
  <c r="V95" i="7" s="1"/>
  <c r="N95" i="7"/>
  <c r="Y94" i="7"/>
  <c r="R94" i="7"/>
  <c r="Q94" i="7"/>
  <c r="L94" i="7"/>
  <c r="I94" i="7"/>
  <c r="G94" i="7"/>
  <c r="F94" i="7"/>
  <c r="E94" i="7"/>
  <c r="S93" i="7"/>
  <c r="S94" i="7" s="1"/>
  <c r="Q93" i="7"/>
  <c r="J93" i="7"/>
  <c r="K93" i="7" s="1"/>
  <c r="W93" i="7" s="1"/>
  <c r="C93" i="7"/>
  <c r="T92" i="7"/>
  <c r="U92" i="7" s="1"/>
  <c r="N92" i="7"/>
  <c r="P92" i="7" s="1"/>
  <c r="V92" i="7" s="1"/>
  <c r="K92" i="7"/>
  <c r="W92" i="7" s="1"/>
  <c r="W91" i="7"/>
  <c r="U91" i="7"/>
  <c r="T91" i="7"/>
  <c r="N91" i="7"/>
  <c r="P91" i="7" s="1"/>
  <c r="V91" i="7" s="1"/>
  <c r="K91" i="7"/>
  <c r="W90" i="7"/>
  <c r="V90" i="7"/>
  <c r="U90" i="7"/>
  <c r="T90" i="7"/>
  <c r="N90" i="7"/>
  <c r="P90" i="7" s="1"/>
  <c r="K90" i="7"/>
  <c r="U89" i="7"/>
  <c r="V89" i="7" s="1"/>
  <c r="T89" i="7"/>
  <c r="N89" i="7"/>
  <c r="P89" i="7" s="1"/>
  <c r="K89" i="7"/>
  <c r="W89" i="7" s="1"/>
  <c r="T88" i="7"/>
  <c r="U88" i="7" s="1"/>
  <c r="P88" i="7"/>
  <c r="N88" i="7"/>
  <c r="K88" i="7"/>
  <c r="W88" i="7" s="1"/>
  <c r="T87" i="7"/>
  <c r="U87" i="7" s="1"/>
  <c r="P87" i="7"/>
  <c r="N87" i="7"/>
  <c r="K87" i="7"/>
  <c r="W87" i="7" s="1"/>
  <c r="T86" i="7"/>
  <c r="U86" i="7" s="1"/>
  <c r="P86" i="7"/>
  <c r="N86" i="7"/>
  <c r="K86" i="7"/>
  <c r="W86" i="7" s="1"/>
  <c r="T85" i="7"/>
  <c r="U85" i="7" s="1"/>
  <c r="P85" i="7"/>
  <c r="N85" i="7"/>
  <c r="K85" i="7"/>
  <c r="W85" i="7" s="1"/>
  <c r="C85" i="7"/>
  <c r="U84" i="7"/>
  <c r="V84" i="7" s="1"/>
  <c r="T84" i="7"/>
  <c r="P84" i="7"/>
  <c r="N84" i="7"/>
  <c r="K84" i="7"/>
  <c r="W84" i="7" s="1"/>
  <c r="P83" i="7"/>
  <c r="V83" i="7" s="1"/>
  <c r="N83" i="7"/>
  <c r="K83" i="7"/>
  <c r="W83" i="7" s="1"/>
  <c r="C83" i="7"/>
  <c r="T82" i="7"/>
  <c r="U82" i="7" s="1"/>
  <c r="P82" i="7"/>
  <c r="N82" i="7"/>
  <c r="K82" i="7"/>
  <c r="W82" i="7" s="1"/>
  <c r="C82" i="7"/>
  <c r="U81" i="7"/>
  <c r="T81" i="7"/>
  <c r="P81" i="7"/>
  <c r="N81" i="7"/>
  <c r="K81" i="7"/>
  <c r="C81" i="7"/>
  <c r="C94" i="7" s="1"/>
  <c r="P80" i="7"/>
  <c r="V80" i="7" s="1"/>
  <c r="N80" i="7"/>
  <c r="P79" i="7"/>
  <c r="V79" i="7" s="1"/>
  <c r="N79" i="7"/>
  <c r="Y78" i="7"/>
  <c r="R78" i="7"/>
  <c r="L78" i="7"/>
  <c r="I78" i="7"/>
  <c r="G78" i="7"/>
  <c r="E78" i="7"/>
  <c r="J77" i="7"/>
  <c r="J78" i="7" s="1"/>
  <c r="C77" i="7"/>
  <c r="C78" i="7" s="1"/>
  <c r="T76" i="7"/>
  <c r="U76" i="7" s="1"/>
  <c r="N76" i="7"/>
  <c r="P76" i="7" s="1"/>
  <c r="K76" i="7"/>
  <c r="W76" i="7" s="1"/>
  <c r="W75" i="7"/>
  <c r="T75" i="7"/>
  <c r="U75" i="7" s="1"/>
  <c r="P75" i="7"/>
  <c r="N75" i="7"/>
  <c r="K75" i="7"/>
  <c r="W74" i="7"/>
  <c r="U74" i="7"/>
  <c r="T74" i="7"/>
  <c r="P74" i="7"/>
  <c r="V74" i="7" s="1"/>
  <c r="N74" i="7"/>
  <c r="K74" i="7"/>
  <c r="W73" i="7"/>
  <c r="U73" i="7"/>
  <c r="T73" i="7"/>
  <c r="P73" i="7"/>
  <c r="V73" i="7" s="1"/>
  <c r="N73" i="7"/>
  <c r="K73" i="7"/>
  <c r="W72" i="7"/>
  <c r="V72" i="7"/>
  <c r="U72" i="7"/>
  <c r="T72" i="7"/>
  <c r="P72" i="7"/>
  <c r="N72" i="7"/>
  <c r="K72" i="7"/>
  <c r="W71" i="7"/>
  <c r="T71" i="7"/>
  <c r="U71" i="7" s="1"/>
  <c r="P71" i="7"/>
  <c r="N71" i="7"/>
  <c r="K71" i="7"/>
  <c r="W70" i="7"/>
  <c r="N70" i="7"/>
  <c r="P70" i="7" s="1"/>
  <c r="V70" i="7" s="1"/>
  <c r="N69" i="7"/>
  <c r="P69" i="7" s="1"/>
  <c r="V69" i="7" s="1"/>
  <c r="Y68" i="7"/>
  <c r="R68" i="7"/>
  <c r="L68" i="7"/>
  <c r="J68" i="7"/>
  <c r="I68" i="7"/>
  <c r="K66" i="7" s="1"/>
  <c r="G68" i="7"/>
  <c r="F68" i="7"/>
  <c r="U67" i="7"/>
  <c r="T67" i="7"/>
  <c r="N67" i="7"/>
  <c r="P67" i="7" s="1"/>
  <c r="V67" i="7" s="1"/>
  <c r="K67" i="7"/>
  <c r="N66" i="7"/>
  <c r="P66" i="7" s="1"/>
  <c r="V66" i="7" s="1"/>
  <c r="S65" i="7"/>
  <c r="S68" i="7" s="1"/>
  <c r="K65" i="7"/>
  <c r="C65" i="7"/>
  <c r="C68" i="7" s="1"/>
  <c r="U64" i="7"/>
  <c r="N64" i="7"/>
  <c r="P64" i="7" s="1"/>
  <c r="V64" i="7" s="1"/>
  <c r="K64" i="7"/>
  <c r="T63" i="7"/>
  <c r="U63" i="7" s="1"/>
  <c r="N63" i="7"/>
  <c r="P63" i="7" s="1"/>
  <c r="V63" i="7" s="1"/>
  <c r="K63" i="7"/>
  <c r="U62" i="7"/>
  <c r="V62" i="7" s="1"/>
  <c r="T62" i="7"/>
  <c r="P62" i="7"/>
  <c r="N62" i="7"/>
  <c r="K62" i="7"/>
  <c r="T61" i="7"/>
  <c r="U61" i="7" s="1"/>
  <c r="N61" i="7"/>
  <c r="P61" i="7" s="1"/>
  <c r="V61" i="7" s="1"/>
  <c r="K61" i="7"/>
  <c r="N60" i="7"/>
  <c r="P60" i="7" s="1"/>
  <c r="V60" i="7" s="1"/>
  <c r="P59" i="7"/>
  <c r="V59" i="7" s="1"/>
  <c r="N59" i="7"/>
  <c r="Y58" i="7"/>
  <c r="R58" i="7"/>
  <c r="L58" i="7"/>
  <c r="I58" i="7"/>
  <c r="G58" i="7"/>
  <c r="W57" i="7"/>
  <c r="T57" i="7"/>
  <c r="U57" i="7" s="1"/>
  <c r="P57" i="7"/>
  <c r="V57" i="7" s="1"/>
  <c r="S56" i="7"/>
  <c r="T56" i="7" s="1"/>
  <c r="Q56" i="7"/>
  <c r="M56" i="7"/>
  <c r="N56" i="7" s="1"/>
  <c r="P56" i="7" s="1"/>
  <c r="J56" i="7"/>
  <c r="K56" i="7" s="1"/>
  <c r="W56" i="7" s="1"/>
  <c r="C56" i="7"/>
  <c r="C58" i="7" s="1"/>
  <c r="T55" i="7"/>
  <c r="U55" i="7" s="1"/>
  <c r="P55" i="7"/>
  <c r="N55" i="7"/>
  <c r="K55" i="7"/>
  <c r="W55" i="7" s="1"/>
  <c r="T54" i="7"/>
  <c r="U54" i="7" s="1"/>
  <c r="J54" i="7"/>
  <c r="K54" i="7" s="1"/>
  <c r="W54" i="7" s="1"/>
  <c r="T53" i="7"/>
  <c r="U53" i="7" s="1"/>
  <c r="P53" i="7"/>
  <c r="N53" i="7"/>
  <c r="K53" i="7"/>
  <c r="W53" i="7" s="1"/>
  <c r="S52" i="7"/>
  <c r="S58" i="7" s="1"/>
  <c r="Q52" i="7"/>
  <c r="N52" i="7"/>
  <c r="P52" i="7" s="1"/>
  <c r="K52" i="7"/>
  <c r="W52" i="7" s="1"/>
  <c r="E52" i="7"/>
  <c r="E58" i="7" s="1"/>
  <c r="P51" i="7"/>
  <c r="V51" i="7" s="1"/>
  <c r="N51" i="7"/>
  <c r="P50" i="7"/>
  <c r="V50" i="7" s="1"/>
  <c r="N50" i="7"/>
  <c r="P49" i="7"/>
  <c r="V49" i="7" s="1"/>
  <c r="N49" i="7"/>
  <c r="P48" i="7"/>
  <c r="V48" i="7" s="1"/>
  <c r="N48" i="7"/>
  <c r="Y47" i="7"/>
  <c r="Y113" i="7" s="1"/>
  <c r="S47" i="7"/>
  <c r="R47" i="7"/>
  <c r="Q47" i="7"/>
  <c r="M47" i="7"/>
  <c r="L47" i="7"/>
  <c r="J47" i="7"/>
  <c r="I47" i="7"/>
  <c r="I113" i="7" s="1"/>
  <c r="G47" i="7"/>
  <c r="F47" i="7"/>
  <c r="E47" i="7"/>
  <c r="T46" i="7"/>
  <c r="U46" i="7" s="1"/>
  <c r="N46" i="7"/>
  <c r="P46" i="7" s="1"/>
  <c r="V46" i="7" s="1"/>
  <c r="K46" i="7"/>
  <c r="W46" i="7" s="1"/>
  <c r="T45" i="7"/>
  <c r="U45" i="7" s="1"/>
  <c r="N45" i="7"/>
  <c r="P45" i="7" s="1"/>
  <c r="K45" i="7"/>
  <c r="W45" i="7" s="1"/>
  <c r="C45" i="7"/>
  <c r="W44" i="7"/>
  <c r="T44" i="7"/>
  <c r="T47" i="7" s="1"/>
  <c r="P44" i="7"/>
  <c r="N44" i="7"/>
  <c r="N47" i="7" s="1"/>
  <c r="K44" i="7"/>
  <c r="K47" i="7" s="1"/>
  <c r="C44" i="7"/>
  <c r="C47" i="7" s="1"/>
  <c r="N43" i="7"/>
  <c r="P43" i="7" s="1"/>
  <c r="V43" i="7" s="1"/>
  <c r="V42" i="7"/>
  <c r="P42" i="7"/>
  <c r="N42" i="7"/>
  <c r="N41" i="7"/>
  <c r="P41" i="7" s="1"/>
  <c r="V41" i="7" s="1"/>
  <c r="C40" i="7"/>
  <c r="Y39" i="7"/>
  <c r="Y40" i="7" s="1"/>
  <c r="S39" i="7"/>
  <c r="S40" i="7" s="1"/>
  <c r="R39" i="7"/>
  <c r="R40" i="7" s="1"/>
  <c r="Q39" i="7"/>
  <c r="Q40" i="7" s="1"/>
  <c r="M39" i="7"/>
  <c r="M40" i="7" s="1"/>
  <c r="L39" i="7"/>
  <c r="L40" i="7" s="1"/>
  <c r="J39" i="7"/>
  <c r="J40" i="7" s="1"/>
  <c r="I39" i="7"/>
  <c r="I40" i="7" s="1"/>
  <c r="H39" i="7"/>
  <c r="H40" i="7" s="1"/>
  <c r="G39" i="7"/>
  <c r="G40" i="7" s="1"/>
  <c r="F39" i="7"/>
  <c r="F40" i="7" s="1"/>
  <c r="E39" i="7"/>
  <c r="E40" i="7" s="1"/>
  <c r="D39" i="7"/>
  <c r="D40" i="7" s="1"/>
  <c r="C39" i="7"/>
  <c r="W38" i="7"/>
  <c r="T38" i="7"/>
  <c r="U38" i="7" s="1"/>
  <c r="N38" i="7"/>
  <c r="P38" i="7" s="1"/>
  <c r="V38" i="7" s="1"/>
  <c r="K38" i="7"/>
  <c r="W37" i="7"/>
  <c r="T37" i="7"/>
  <c r="U37" i="7" s="1"/>
  <c r="N37" i="7"/>
  <c r="P37" i="7" s="1"/>
  <c r="V37" i="7" s="1"/>
  <c r="K37" i="7"/>
  <c r="W36" i="7"/>
  <c r="U36" i="7"/>
  <c r="T36" i="7"/>
  <c r="N36" i="7"/>
  <c r="P36" i="7" s="1"/>
  <c r="V36" i="7" s="1"/>
  <c r="K36" i="7"/>
  <c r="W35" i="7"/>
  <c r="T35" i="7"/>
  <c r="U35" i="7" s="1"/>
  <c r="N35" i="7"/>
  <c r="P35" i="7" s="1"/>
  <c r="K35" i="7"/>
  <c r="W34" i="7"/>
  <c r="U34" i="7"/>
  <c r="T34" i="7"/>
  <c r="N34" i="7"/>
  <c r="P34" i="7" s="1"/>
  <c r="V34" i="7" s="1"/>
  <c r="K34" i="7"/>
  <c r="W33" i="7"/>
  <c r="U33" i="7"/>
  <c r="T33" i="7"/>
  <c r="T39" i="7" s="1"/>
  <c r="T40" i="7" s="1"/>
  <c r="N33" i="7"/>
  <c r="N39" i="7" s="1"/>
  <c r="K33" i="7"/>
  <c r="K39" i="7" s="1"/>
  <c r="K40" i="7" s="1"/>
  <c r="W32" i="7"/>
  <c r="N32" i="7"/>
  <c r="P32" i="7" s="1"/>
  <c r="V32" i="7" s="1"/>
  <c r="W31" i="7"/>
  <c r="N31" i="7"/>
  <c r="P31" i="7" s="1"/>
  <c r="V31" i="7" s="1"/>
  <c r="Y30" i="7"/>
  <c r="S30" i="7"/>
  <c r="R30" i="7"/>
  <c r="Q30" i="7"/>
  <c r="M30" i="7"/>
  <c r="L30" i="7"/>
  <c r="J30" i="7"/>
  <c r="I30" i="7"/>
  <c r="H30" i="7"/>
  <c r="G30" i="7"/>
  <c r="F30" i="7"/>
  <c r="E30" i="7"/>
  <c r="W30" i="7" s="1"/>
  <c r="D30" i="7"/>
  <c r="C30" i="7"/>
  <c r="W29" i="7"/>
  <c r="U29" i="7"/>
  <c r="T29" i="7"/>
  <c r="N29" i="7"/>
  <c r="P29" i="7" s="1"/>
  <c r="V29" i="7" s="1"/>
  <c r="K29" i="7"/>
  <c r="W28" i="7"/>
  <c r="U28" i="7"/>
  <c r="T28" i="7"/>
  <c r="N28" i="7"/>
  <c r="P28" i="7" s="1"/>
  <c r="V28" i="7" s="1"/>
  <c r="K28" i="7"/>
  <c r="W27" i="7"/>
  <c r="U27" i="7"/>
  <c r="T27" i="7"/>
  <c r="N27" i="7"/>
  <c r="P27" i="7" s="1"/>
  <c r="V27" i="7" s="1"/>
  <c r="K27" i="7"/>
  <c r="A27" i="7"/>
  <c r="A28" i="7" s="1"/>
  <c r="A29" i="7" s="1"/>
  <c r="A30" i="7" s="1"/>
  <c r="A31" i="7" s="1"/>
  <c r="A32" i="7" s="1"/>
  <c r="A33" i="7" s="1"/>
  <c r="A34" i="7" s="1"/>
  <c r="A35" i="7" s="1"/>
  <c r="A36" i="7" s="1"/>
  <c r="A37" i="7" s="1"/>
  <c r="A38" i="7" s="1"/>
  <c r="A39" i="7" s="1"/>
  <c r="A40" i="7" s="1"/>
  <c r="A41" i="7" s="1"/>
  <c r="A42" i="7" s="1"/>
  <c r="A44" i="7" s="1"/>
  <c r="A45" i="7" s="1"/>
  <c r="A46" i="7" s="1"/>
  <c r="A47" i="7" s="1"/>
  <c r="A48" i="7" s="1"/>
  <c r="A49" i="7" s="1"/>
  <c r="A50" i="7" s="1"/>
  <c r="A51" i="7" s="1"/>
  <c r="A52" i="7" s="1"/>
  <c r="A55" i="7" s="1"/>
  <c r="A56" i="7" s="1"/>
  <c r="A54" i="7" s="1"/>
  <c r="A57" i="7" s="1"/>
  <c r="A58" i="7" s="1"/>
  <c r="A59" i="7" s="1"/>
  <c r="A60" i="7" s="1"/>
  <c r="A61" i="7" s="1"/>
  <c r="A62" i="7" s="1"/>
  <c r="A63" i="7" s="1"/>
  <c r="A64" i="7" s="1"/>
  <c r="A65" i="7" s="1"/>
  <c r="A67" i="7" s="1"/>
  <c r="A68" i="7" s="1"/>
  <c r="A69" i="7" s="1"/>
  <c r="A70" i="7" s="1"/>
  <c r="A71" i="7" s="1"/>
  <c r="A72" i="7" s="1"/>
  <c r="A73" i="7" s="1"/>
  <c r="A74" i="7" s="1"/>
  <c r="A75" i="7" s="1"/>
  <c r="A77" i="7" s="1"/>
  <c r="A78" i="7" s="1"/>
  <c r="A79" i="7" s="1"/>
  <c r="A80" i="7" s="1"/>
  <c r="A81" i="7" s="1"/>
  <c r="A82" i="7" s="1"/>
  <c r="A83" i="7" s="1"/>
  <c r="A84" i="7" s="1"/>
  <c r="A85" i="7" s="1"/>
  <c r="A86" i="7" s="1"/>
  <c r="A87" i="7" s="1"/>
  <c r="A88" i="7" s="1"/>
  <c r="A89" i="7" s="1"/>
  <c r="A90" i="7" s="1"/>
  <c r="A91" i="7" s="1"/>
  <c r="A93" i="7" s="1"/>
  <c r="A94" i="7" s="1"/>
  <c r="A95" i="7" s="1"/>
  <c r="A96" i="7" s="1"/>
  <c r="A97" i="7" s="1"/>
  <c r="A98" i="7" s="1"/>
  <c r="A99" i="7" s="1"/>
  <c r="A100" i="7" s="1"/>
  <c r="A101" i="7" s="1"/>
  <c r="A102" i="7" s="1"/>
  <c r="A103" i="7" s="1"/>
  <c r="A104" i="7" s="1"/>
  <c r="A105" i="7" s="1"/>
  <c r="A106" i="7" s="1"/>
  <c r="A107" i="7" s="1"/>
  <c r="A108" i="7" s="1"/>
  <c r="A109" i="7" s="1"/>
  <c r="A110" i="7" s="1"/>
  <c r="A111" i="7" s="1"/>
  <c r="A112" i="7" s="1"/>
  <c r="A113" i="7" s="1"/>
  <c r="A7" i="8" s="1"/>
  <c r="A8" i="8" s="1"/>
  <c r="A10" i="8" s="1"/>
  <c r="W26" i="7"/>
  <c r="U26" i="7"/>
  <c r="T26" i="7"/>
  <c r="N26" i="7"/>
  <c r="P26" i="7" s="1"/>
  <c r="V26" i="7" s="1"/>
  <c r="K26" i="7"/>
  <c r="T25" i="7"/>
  <c r="U25" i="7" s="1"/>
  <c r="V25" i="7" s="1"/>
  <c r="P25" i="7"/>
  <c r="N25" i="7"/>
  <c r="K25" i="7"/>
  <c r="W25" i="7" s="1"/>
  <c r="U24" i="7"/>
  <c r="T24" i="7"/>
  <c r="P24" i="7"/>
  <c r="V24" i="7" s="1"/>
  <c r="N24" i="7"/>
  <c r="K24" i="7"/>
  <c r="W24" i="7" s="1"/>
  <c r="U23" i="7"/>
  <c r="T23" i="7"/>
  <c r="P23" i="7"/>
  <c r="V23" i="7" s="1"/>
  <c r="N23" i="7"/>
  <c r="K23" i="7"/>
  <c r="W23" i="7" s="1"/>
  <c r="W22" i="7"/>
  <c r="U22" i="7"/>
  <c r="T22" i="7"/>
  <c r="P22" i="7"/>
  <c r="V22" i="7" s="1"/>
  <c r="N22" i="7"/>
  <c r="K22" i="7"/>
  <c r="W21" i="7"/>
  <c r="U21" i="7"/>
  <c r="T21" i="7"/>
  <c r="P21" i="7"/>
  <c r="V21" i="7" s="1"/>
  <c r="N21" i="7"/>
  <c r="K21" i="7"/>
  <c r="W20" i="7"/>
  <c r="U20" i="7"/>
  <c r="T20" i="7"/>
  <c r="P20" i="7"/>
  <c r="V20" i="7" s="1"/>
  <c r="N20" i="7"/>
  <c r="K20" i="7"/>
  <c r="W19" i="7"/>
  <c r="U19" i="7"/>
  <c r="T19" i="7"/>
  <c r="P19" i="7"/>
  <c r="V19" i="7" s="1"/>
  <c r="N19" i="7"/>
  <c r="K19" i="7"/>
  <c r="W18" i="7"/>
  <c r="U18" i="7"/>
  <c r="T18" i="7"/>
  <c r="P18" i="7"/>
  <c r="V18" i="7" s="1"/>
  <c r="N18" i="7"/>
  <c r="K18" i="7"/>
  <c r="W17" i="7"/>
  <c r="U17" i="7"/>
  <c r="T17" i="7"/>
  <c r="P17" i="7"/>
  <c r="V17" i="7" s="1"/>
  <c r="N17" i="7"/>
  <c r="K17" i="7"/>
  <c r="W16" i="7"/>
  <c r="U16" i="7"/>
  <c r="T16" i="7"/>
  <c r="T30" i="7" s="1"/>
  <c r="P16" i="7"/>
  <c r="V16" i="7" s="1"/>
  <c r="N16" i="7"/>
  <c r="N30" i="7" s="1"/>
  <c r="P30" i="7" s="1"/>
  <c r="K16" i="7"/>
  <c r="K30" i="7" s="1"/>
  <c r="N15" i="7"/>
  <c r="P15" i="7" s="1"/>
  <c r="V15" i="7" s="1"/>
  <c r="P14" i="7"/>
  <c r="V14" i="7" s="1"/>
  <c r="N14" i="7"/>
  <c r="Y13" i="7"/>
  <c r="R13" i="7"/>
  <c r="M13" i="7"/>
  <c r="L13" i="7"/>
  <c r="I13" i="7"/>
  <c r="D13" i="7"/>
  <c r="S12" i="7"/>
  <c r="T12" i="7" s="1"/>
  <c r="N12" i="7"/>
  <c r="P12" i="7" s="1"/>
  <c r="J12" i="7"/>
  <c r="J13" i="7" s="1"/>
  <c r="E12" i="7"/>
  <c r="C12" i="7"/>
  <c r="T11" i="7"/>
  <c r="U11" i="7" s="1"/>
  <c r="P11" i="7"/>
  <c r="N11" i="7"/>
  <c r="K11" i="7"/>
  <c r="W11" i="7" s="1"/>
  <c r="U10" i="7"/>
  <c r="T10" i="7"/>
  <c r="N10" i="7"/>
  <c r="P10" i="7" s="1"/>
  <c r="V10" i="7" s="1"/>
  <c r="K10" i="7"/>
  <c r="W10" i="7" s="1"/>
  <c r="U9" i="7"/>
  <c r="T9" i="7"/>
  <c r="N9" i="7"/>
  <c r="P9" i="7" s="1"/>
  <c r="V9" i="7" s="1"/>
  <c r="K9" i="7"/>
  <c r="E9" i="7"/>
  <c r="E13" i="7" s="1"/>
  <c r="V8" i="7"/>
  <c r="T8" i="7"/>
  <c r="U8" i="7" s="1"/>
  <c r="P8" i="7"/>
  <c r="N8" i="7"/>
  <c r="K8" i="7"/>
  <c r="W8" i="7" s="1"/>
  <c r="C8" i="7"/>
  <c r="T7" i="7"/>
  <c r="S7" i="7"/>
  <c r="S13" i="7" s="1"/>
  <c r="Q7" i="7"/>
  <c r="N7" i="7"/>
  <c r="N13" i="7" s="1"/>
  <c r="P13" i="7" s="1"/>
  <c r="K7" i="7"/>
  <c r="N207" i="6"/>
  <c r="P207" i="6" s="1"/>
  <c r="V207" i="6" s="1"/>
  <c r="M206" i="6"/>
  <c r="L206" i="6"/>
  <c r="J206" i="6"/>
  <c r="I206" i="6"/>
  <c r="G206" i="6"/>
  <c r="W206" i="6" s="1"/>
  <c r="F206" i="6"/>
  <c r="C206" i="6"/>
  <c r="T205" i="6"/>
  <c r="U205" i="6" s="1"/>
  <c r="N205" i="6"/>
  <c r="P205" i="6" s="1"/>
  <c r="V204" i="6"/>
  <c r="P204" i="6"/>
  <c r="N204" i="6"/>
  <c r="V203" i="6"/>
  <c r="N203" i="6"/>
  <c r="P203" i="6" s="1"/>
  <c r="W201" i="6"/>
  <c r="U201" i="6"/>
  <c r="T201" i="6"/>
  <c r="N201" i="6"/>
  <c r="P201" i="6" s="1"/>
  <c r="J201" i="6"/>
  <c r="F201" i="6"/>
  <c r="T200" i="6"/>
  <c r="U200" i="6" s="1"/>
  <c r="V200" i="6" s="1"/>
  <c r="P200" i="6"/>
  <c r="N200" i="6"/>
  <c r="K200" i="6"/>
  <c r="G200" i="6"/>
  <c r="W200" i="6" s="1"/>
  <c r="N199" i="6"/>
  <c r="P199" i="6" s="1"/>
  <c r="V199" i="6" s="1"/>
  <c r="S198" i="6"/>
  <c r="R198" i="6"/>
  <c r="Q198" i="6"/>
  <c r="M198" i="6"/>
  <c r="L198" i="6"/>
  <c r="J198" i="6"/>
  <c r="I198" i="6"/>
  <c r="I202" i="6" s="1"/>
  <c r="G198" i="6"/>
  <c r="F198" i="6"/>
  <c r="E198" i="6"/>
  <c r="C198" i="6"/>
  <c r="C202" i="6" s="1"/>
  <c r="T197" i="6"/>
  <c r="U197" i="6" s="1"/>
  <c r="V197" i="6" s="1"/>
  <c r="N197" i="6"/>
  <c r="P197" i="6" s="1"/>
  <c r="K197" i="6"/>
  <c r="W197" i="6" s="1"/>
  <c r="T196" i="6"/>
  <c r="U196" i="6" s="1"/>
  <c r="V196" i="6" s="1"/>
  <c r="N196" i="6"/>
  <c r="P196" i="6" s="1"/>
  <c r="K196" i="6"/>
  <c r="W196" i="6" s="1"/>
  <c r="T195" i="6"/>
  <c r="U195" i="6" s="1"/>
  <c r="V195" i="6" s="1"/>
  <c r="N195" i="6"/>
  <c r="P195" i="6" s="1"/>
  <c r="K195" i="6"/>
  <c r="W195" i="6" s="1"/>
  <c r="T194" i="6"/>
  <c r="U194" i="6" s="1"/>
  <c r="V194" i="6" s="1"/>
  <c r="N194" i="6"/>
  <c r="P194" i="6" s="1"/>
  <c r="K194" i="6"/>
  <c r="W194" i="6" s="1"/>
  <c r="T193" i="6"/>
  <c r="U193" i="6" s="1"/>
  <c r="V193" i="6" s="1"/>
  <c r="N193" i="6"/>
  <c r="P193" i="6" s="1"/>
  <c r="K193" i="6"/>
  <c r="W193" i="6" s="1"/>
  <c r="T192" i="6"/>
  <c r="U192" i="6" s="1"/>
  <c r="V192" i="6" s="1"/>
  <c r="N192" i="6"/>
  <c r="P192" i="6" s="1"/>
  <c r="K192" i="6"/>
  <c r="W192" i="6" s="1"/>
  <c r="T191" i="6"/>
  <c r="U191" i="6" s="1"/>
  <c r="V191" i="6" s="1"/>
  <c r="N191" i="6"/>
  <c r="P191" i="6" s="1"/>
  <c r="K191" i="6"/>
  <c r="K198" i="6" s="1"/>
  <c r="W190" i="6"/>
  <c r="T190" i="6"/>
  <c r="U190" i="6" s="1"/>
  <c r="N190" i="6"/>
  <c r="P190" i="6" s="1"/>
  <c r="W189" i="6"/>
  <c r="U189" i="6"/>
  <c r="V189" i="6" s="1"/>
  <c r="T189" i="6"/>
  <c r="P189" i="6"/>
  <c r="N189" i="6"/>
  <c r="W188" i="6"/>
  <c r="T188" i="6"/>
  <c r="T198" i="6" s="1"/>
  <c r="N188" i="6"/>
  <c r="P188" i="6" s="1"/>
  <c r="N187" i="6"/>
  <c r="P187" i="6" s="1"/>
  <c r="V187" i="6" s="1"/>
  <c r="S186" i="6"/>
  <c r="R186" i="6"/>
  <c r="Q186" i="6"/>
  <c r="M186" i="6"/>
  <c r="L186" i="6"/>
  <c r="J186" i="6"/>
  <c r="I186" i="6"/>
  <c r="G186" i="6"/>
  <c r="F186" i="6"/>
  <c r="E186" i="6"/>
  <c r="C186" i="6"/>
  <c r="T185" i="6"/>
  <c r="U185" i="6" s="1"/>
  <c r="V185" i="6" s="1"/>
  <c r="N185" i="6"/>
  <c r="P185" i="6" s="1"/>
  <c r="K185" i="6"/>
  <c r="G185" i="6"/>
  <c r="W185" i="6" s="1"/>
  <c r="U184" i="6"/>
  <c r="V184" i="6" s="1"/>
  <c r="T184" i="6"/>
  <c r="P184" i="6"/>
  <c r="N184" i="6"/>
  <c r="K184" i="6"/>
  <c r="W184" i="6" s="1"/>
  <c r="G184" i="6"/>
  <c r="V183" i="6"/>
  <c r="T183" i="6"/>
  <c r="U183" i="6" s="1"/>
  <c r="N183" i="6"/>
  <c r="P183" i="6" s="1"/>
  <c r="K183" i="6"/>
  <c r="G183" i="6"/>
  <c r="W183" i="6" s="1"/>
  <c r="W182" i="6"/>
  <c r="U182" i="6"/>
  <c r="T182" i="6"/>
  <c r="P182" i="6"/>
  <c r="N182" i="6"/>
  <c r="N186" i="6" s="1"/>
  <c r="P186" i="6" s="1"/>
  <c r="K182" i="6"/>
  <c r="K186" i="6" s="1"/>
  <c r="G182" i="6"/>
  <c r="W181" i="6"/>
  <c r="V181" i="6"/>
  <c r="N181" i="6"/>
  <c r="P181" i="6" s="1"/>
  <c r="Y180" i="6"/>
  <c r="S180" i="6"/>
  <c r="S202" i="6" s="1"/>
  <c r="R180" i="6"/>
  <c r="Q180" i="6"/>
  <c r="N180" i="6"/>
  <c r="P180" i="6" s="1"/>
  <c r="M180" i="6"/>
  <c r="L180" i="6"/>
  <c r="J180" i="6"/>
  <c r="J202" i="6" s="1"/>
  <c r="I180" i="6"/>
  <c r="F180" i="6"/>
  <c r="E180" i="6"/>
  <c r="C180" i="6"/>
  <c r="T179" i="6"/>
  <c r="T180" i="6" s="1"/>
  <c r="N179" i="6"/>
  <c r="P179" i="6" s="1"/>
  <c r="K179" i="6"/>
  <c r="G179" i="6"/>
  <c r="W179" i="6" s="1"/>
  <c r="U178" i="6"/>
  <c r="V178" i="6" s="1"/>
  <c r="T178" i="6"/>
  <c r="P178" i="6"/>
  <c r="N178" i="6"/>
  <c r="K178" i="6"/>
  <c r="K180" i="6" s="1"/>
  <c r="G178" i="6"/>
  <c r="P177" i="6"/>
  <c r="V177" i="6" s="1"/>
  <c r="N177" i="6"/>
  <c r="Y176" i="6"/>
  <c r="S176" i="6"/>
  <c r="R176" i="6"/>
  <c r="Q176" i="6"/>
  <c r="N176" i="6"/>
  <c r="P176" i="6" s="1"/>
  <c r="M176" i="6"/>
  <c r="L176" i="6"/>
  <c r="J176" i="6"/>
  <c r="I176" i="6"/>
  <c r="H176" i="6"/>
  <c r="F176" i="6"/>
  <c r="E176" i="6"/>
  <c r="D176" i="6"/>
  <c r="D202" i="6" s="1"/>
  <c r="C176" i="6"/>
  <c r="T175" i="6"/>
  <c r="U175" i="6" s="1"/>
  <c r="V175" i="6" s="1"/>
  <c r="N175" i="6"/>
  <c r="P175" i="6" s="1"/>
  <c r="K175" i="6"/>
  <c r="G175" i="6"/>
  <c r="W175" i="6" s="1"/>
  <c r="W174" i="6"/>
  <c r="U174" i="6"/>
  <c r="V174" i="6" s="1"/>
  <c r="T174" i="6"/>
  <c r="P174" i="6"/>
  <c r="N174" i="6"/>
  <c r="K174" i="6"/>
  <c r="G174" i="6"/>
  <c r="G176" i="6" s="1"/>
  <c r="T173" i="6"/>
  <c r="U173" i="6" s="1"/>
  <c r="N173" i="6"/>
  <c r="P173" i="6" s="1"/>
  <c r="K173" i="6"/>
  <c r="W173" i="6" s="1"/>
  <c r="N172" i="6"/>
  <c r="P172" i="6" s="1"/>
  <c r="V172" i="6" s="1"/>
  <c r="N171" i="6"/>
  <c r="P171" i="6" s="1"/>
  <c r="V171" i="6" s="1"/>
  <c r="Y170" i="6"/>
  <c r="R170" i="6"/>
  <c r="L170" i="6"/>
  <c r="I170" i="6"/>
  <c r="H170" i="6"/>
  <c r="E170" i="6"/>
  <c r="D170" i="6"/>
  <c r="M169" i="6"/>
  <c r="N169" i="6" s="1"/>
  <c r="P169" i="6" s="1"/>
  <c r="J169" i="6"/>
  <c r="C169" i="6"/>
  <c r="C170" i="6" s="1"/>
  <c r="U168" i="6"/>
  <c r="V168" i="6" s="1"/>
  <c r="T168" i="6"/>
  <c r="P168" i="6"/>
  <c r="N168" i="6"/>
  <c r="T167" i="6"/>
  <c r="U167" i="6" s="1"/>
  <c r="N167" i="6"/>
  <c r="P167" i="6" s="1"/>
  <c r="K167" i="6"/>
  <c r="U166" i="6"/>
  <c r="V166" i="6" s="1"/>
  <c r="T166" i="6"/>
  <c r="P166" i="6"/>
  <c r="N166" i="6"/>
  <c r="K166" i="6"/>
  <c r="V165" i="6"/>
  <c r="T165" i="6"/>
  <c r="U165" i="6" s="1"/>
  <c r="N165" i="6"/>
  <c r="P165" i="6" s="1"/>
  <c r="K165" i="6"/>
  <c r="P164" i="6"/>
  <c r="V164" i="6" s="1"/>
  <c r="N164" i="6"/>
  <c r="P163" i="6"/>
  <c r="V163" i="6" s="1"/>
  <c r="N163" i="6"/>
  <c r="Y162" i="6"/>
  <c r="R162" i="6"/>
  <c r="L162" i="6"/>
  <c r="J162" i="6"/>
  <c r="I162" i="6"/>
  <c r="H162" i="6"/>
  <c r="G162" i="6"/>
  <c r="E162" i="6"/>
  <c r="D162" i="6"/>
  <c r="S161" i="6"/>
  <c r="Q161" i="6"/>
  <c r="Q162" i="6" s="1"/>
  <c r="J161" i="6"/>
  <c r="K161" i="6" s="1"/>
  <c r="C161" i="6"/>
  <c r="C162" i="6" s="1"/>
  <c r="T160" i="6"/>
  <c r="U160" i="6" s="1"/>
  <c r="V160" i="6" s="1"/>
  <c r="P160" i="6"/>
  <c r="K160" i="6"/>
  <c r="U159" i="6"/>
  <c r="V159" i="6" s="1"/>
  <c r="T159" i="6"/>
  <c r="P159" i="6"/>
  <c r="N159" i="6"/>
  <c r="K159" i="6"/>
  <c r="T158" i="6"/>
  <c r="U158" i="6" s="1"/>
  <c r="V158" i="6" s="1"/>
  <c r="N158" i="6"/>
  <c r="P158" i="6" s="1"/>
  <c r="K158" i="6"/>
  <c r="A158" i="6"/>
  <c r="A159" i="6" s="1"/>
  <c r="A161" i="6" s="1"/>
  <c r="A162" i="6" s="1"/>
  <c r="A163" i="6" s="1"/>
  <c r="A164" i="6" s="1"/>
  <c r="A165" i="6" s="1"/>
  <c r="A166" i="6" s="1"/>
  <c r="A167" i="6" s="1"/>
  <c r="A169" i="6" s="1"/>
  <c r="A170" i="6" s="1"/>
  <c r="A171" i="6" s="1"/>
  <c r="A172" i="6" s="1"/>
  <c r="A174" i="6" s="1"/>
  <c r="A175" i="6" s="1"/>
  <c r="A176" i="6" s="1"/>
  <c r="A177" i="6" s="1"/>
  <c r="A178" i="6" s="1"/>
  <c r="A179" i="6" s="1"/>
  <c r="A180" i="6" s="1"/>
  <c r="A181" i="6" s="1"/>
  <c r="A182" i="6" s="1"/>
  <c r="A183" i="6" s="1"/>
  <c r="A184" i="6" s="1"/>
  <c r="A185" i="6" s="1"/>
  <c r="A186" i="6" s="1"/>
  <c r="A187" i="6" s="1"/>
  <c r="A188" i="6" s="1"/>
  <c r="A189" i="6" s="1"/>
  <c r="A190" i="6" s="1"/>
  <c r="A191" i="6" s="1"/>
  <c r="A192" i="6" s="1"/>
  <c r="A193" i="6" s="1"/>
  <c r="A194" i="6" s="1"/>
  <c r="A195" i="6" s="1"/>
  <c r="A196" i="6" s="1"/>
  <c r="A197" i="6" s="1"/>
  <c r="A198" i="6" s="1"/>
  <c r="A199" i="6" s="1"/>
  <c r="A200" i="6" s="1"/>
  <c r="A201" i="6" s="1"/>
  <c r="A202" i="6" s="1"/>
  <c r="A203" i="6" s="1"/>
  <c r="A204" i="6" s="1"/>
  <c r="A205" i="6" s="1"/>
  <c r="A206" i="6" s="1"/>
  <c r="A207" i="6" s="1"/>
  <c r="A208" i="6" s="1"/>
  <c r="A6" i="7" s="1"/>
  <c r="A7" i="7" s="1"/>
  <c r="A8" i="7" s="1"/>
  <c r="A9" i="7" s="1"/>
  <c r="A10" i="7" s="1"/>
  <c r="A12" i="7" s="1"/>
  <c r="A13" i="7" s="1"/>
  <c r="A14" i="7" s="1"/>
  <c r="A15" i="7" s="1"/>
  <c r="A16" i="7" s="1"/>
  <c r="A17" i="7" s="1"/>
  <c r="A18" i="7" s="1"/>
  <c r="A19" i="7" s="1"/>
  <c r="A20" i="7" s="1"/>
  <c r="A21" i="7" s="1"/>
  <c r="A22" i="7" s="1"/>
  <c r="A23" i="7" s="1"/>
  <c r="A24" i="7" s="1"/>
  <c r="U157" i="6"/>
  <c r="V157" i="6" s="1"/>
  <c r="T157" i="6"/>
  <c r="P157" i="6"/>
  <c r="N157" i="6"/>
  <c r="K157" i="6"/>
  <c r="U156" i="6"/>
  <c r="V156" i="6" s="1"/>
  <c r="T156" i="6"/>
  <c r="P156" i="6"/>
  <c r="N156" i="6"/>
  <c r="K156" i="6"/>
  <c r="T155" i="6"/>
  <c r="U155" i="6" s="1"/>
  <c r="N155" i="6"/>
  <c r="P155" i="6" s="1"/>
  <c r="K155" i="6"/>
  <c r="W155" i="6" s="1"/>
  <c r="T154" i="6"/>
  <c r="U154" i="6" s="1"/>
  <c r="V154" i="6" s="1"/>
  <c r="N154" i="6"/>
  <c r="P154" i="6" s="1"/>
  <c r="K154" i="6"/>
  <c r="T153" i="6"/>
  <c r="U153" i="6" s="1"/>
  <c r="V153" i="6" s="1"/>
  <c r="N153" i="6"/>
  <c r="P153" i="6" s="1"/>
  <c r="K153" i="6"/>
  <c r="A153" i="6"/>
  <c r="U152" i="6"/>
  <c r="T152" i="6"/>
  <c r="P152" i="6"/>
  <c r="N152" i="6"/>
  <c r="K152" i="6"/>
  <c r="A152" i="6"/>
  <c r="T151" i="6"/>
  <c r="U151" i="6" s="1"/>
  <c r="N151" i="6"/>
  <c r="P151" i="6" s="1"/>
  <c r="K151" i="6"/>
  <c r="T150" i="6"/>
  <c r="U150" i="6" s="1"/>
  <c r="N150" i="6"/>
  <c r="P150" i="6" s="1"/>
  <c r="K150" i="6"/>
  <c r="V149" i="6"/>
  <c r="T149" i="6"/>
  <c r="U149" i="6" s="1"/>
  <c r="N149" i="6"/>
  <c r="P149" i="6" s="1"/>
  <c r="K149" i="6"/>
  <c r="T148" i="6"/>
  <c r="U148" i="6" s="1"/>
  <c r="N148" i="6"/>
  <c r="P148" i="6" s="1"/>
  <c r="T147" i="6"/>
  <c r="N147" i="6"/>
  <c r="P147" i="6" s="1"/>
  <c r="N146" i="6"/>
  <c r="P146" i="6" s="1"/>
  <c r="V146" i="6" s="1"/>
  <c r="N145" i="6"/>
  <c r="P145" i="6" s="1"/>
  <c r="V145" i="6" s="1"/>
  <c r="T143" i="6"/>
  <c r="U143" i="6" s="1"/>
  <c r="V143" i="6" s="1"/>
  <c r="N143" i="6"/>
  <c r="P143" i="6" s="1"/>
  <c r="J142" i="6"/>
  <c r="N141" i="6"/>
  <c r="P141" i="6" s="1"/>
  <c r="V141" i="6" s="1"/>
  <c r="Y140" i="6"/>
  <c r="W140" i="6"/>
  <c r="S140" i="6"/>
  <c r="R140" i="6"/>
  <c r="Q140" i="6"/>
  <c r="M140" i="6"/>
  <c r="L140" i="6"/>
  <c r="J140" i="6"/>
  <c r="I140" i="6"/>
  <c r="H140" i="6"/>
  <c r="F140" i="6"/>
  <c r="D140" i="6"/>
  <c r="C140" i="6"/>
  <c r="T139" i="6"/>
  <c r="U139" i="6" s="1"/>
  <c r="N139" i="6"/>
  <c r="P139" i="6" s="1"/>
  <c r="K139" i="6"/>
  <c r="U138" i="6"/>
  <c r="V138" i="6" s="1"/>
  <c r="T138" i="6"/>
  <c r="P138" i="6"/>
  <c r="N138" i="6"/>
  <c r="K138" i="6"/>
  <c r="T137" i="6"/>
  <c r="U137" i="6" s="1"/>
  <c r="N137" i="6"/>
  <c r="P137" i="6" s="1"/>
  <c r="K137" i="6"/>
  <c r="U136" i="6"/>
  <c r="V136" i="6" s="1"/>
  <c r="T136" i="6"/>
  <c r="P136" i="6"/>
  <c r="N136" i="6"/>
  <c r="K136" i="6"/>
  <c r="V135" i="6"/>
  <c r="T135" i="6"/>
  <c r="U135" i="6" s="1"/>
  <c r="N135" i="6"/>
  <c r="P135" i="6" s="1"/>
  <c r="K135" i="6"/>
  <c r="U134" i="6"/>
  <c r="T134" i="6"/>
  <c r="P134" i="6"/>
  <c r="N134" i="6"/>
  <c r="K134" i="6"/>
  <c r="T133" i="6"/>
  <c r="U133" i="6" s="1"/>
  <c r="N133" i="6"/>
  <c r="P133" i="6" s="1"/>
  <c r="K133" i="6"/>
  <c r="G133" i="6"/>
  <c r="G140" i="6" s="1"/>
  <c r="T132" i="6"/>
  <c r="U132" i="6" s="1"/>
  <c r="V132" i="6" s="1"/>
  <c r="N132" i="6"/>
  <c r="P132" i="6" s="1"/>
  <c r="K132" i="6"/>
  <c r="U131" i="6"/>
  <c r="V131" i="6" s="1"/>
  <c r="T131" i="6"/>
  <c r="P131" i="6"/>
  <c r="N131" i="6"/>
  <c r="K131" i="6"/>
  <c r="K140" i="6" s="1"/>
  <c r="T130" i="6"/>
  <c r="T140" i="6" s="1"/>
  <c r="N130" i="6"/>
  <c r="P130" i="6" s="1"/>
  <c r="K130" i="6"/>
  <c r="P129" i="6"/>
  <c r="V129" i="6" s="1"/>
  <c r="N129" i="6"/>
  <c r="P128" i="6"/>
  <c r="V128" i="6" s="1"/>
  <c r="N128" i="6"/>
  <c r="Y127" i="6"/>
  <c r="S127" i="6"/>
  <c r="R127" i="6"/>
  <c r="Q127" i="6"/>
  <c r="M127" i="6"/>
  <c r="L127" i="6"/>
  <c r="J127" i="6"/>
  <c r="I127" i="6"/>
  <c r="F127" i="6"/>
  <c r="U126" i="6"/>
  <c r="T126" i="6"/>
  <c r="P126" i="6"/>
  <c r="N126" i="6"/>
  <c r="K126" i="6"/>
  <c r="T125" i="6"/>
  <c r="U125" i="6" s="1"/>
  <c r="V125" i="6" s="1"/>
  <c r="N125" i="6"/>
  <c r="P125" i="6" s="1"/>
  <c r="K125" i="6"/>
  <c r="U124" i="6"/>
  <c r="V124" i="6" s="1"/>
  <c r="T124" i="6"/>
  <c r="P124" i="6"/>
  <c r="N124" i="6"/>
  <c r="K124" i="6"/>
  <c r="U123" i="6"/>
  <c r="V123" i="6" s="1"/>
  <c r="T123" i="6"/>
  <c r="N123" i="6"/>
  <c r="P123" i="6" s="1"/>
  <c r="K123" i="6"/>
  <c r="U122" i="6"/>
  <c r="V122" i="6" s="1"/>
  <c r="T122" i="6"/>
  <c r="P122" i="6"/>
  <c r="N122" i="6"/>
  <c r="K122" i="6"/>
  <c r="T121" i="6"/>
  <c r="U121" i="6" s="1"/>
  <c r="N121" i="6"/>
  <c r="P121" i="6" s="1"/>
  <c r="K121" i="6"/>
  <c r="U120" i="6"/>
  <c r="T120" i="6"/>
  <c r="N120" i="6"/>
  <c r="P120" i="6" s="1"/>
  <c r="K120" i="6"/>
  <c r="T119" i="6"/>
  <c r="U119" i="6" s="1"/>
  <c r="N119" i="6"/>
  <c r="P119" i="6" s="1"/>
  <c r="K119" i="6"/>
  <c r="U118" i="6"/>
  <c r="V118" i="6" s="1"/>
  <c r="T118" i="6"/>
  <c r="P118" i="6"/>
  <c r="N118" i="6"/>
  <c r="K118" i="6"/>
  <c r="T117" i="6"/>
  <c r="U117" i="6" s="1"/>
  <c r="N117" i="6"/>
  <c r="P117" i="6" s="1"/>
  <c r="V117" i="6" s="1"/>
  <c r="K117" i="6"/>
  <c r="U116" i="6"/>
  <c r="V116" i="6" s="1"/>
  <c r="T116" i="6"/>
  <c r="P116" i="6"/>
  <c r="N116" i="6"/>
  <c r="K116" i="6"/>
  <c r="U115" i="6"/>
  <c r="V115" i="6" s="1"/>
  <c r="T115" i="6"/>
  <c r="N115" i="6"/>
  <c r="P115" i="6" s="1"/>
  <c r="K115" i="6"/>
  <c r="T114" i="6"/>
  <c r="U114" i="6" s="1"/>
  <c r="V114" i="6" s="1"/>
  <c r="P114" i="6"/>
  <c r="N114" i="6"/>
  <c r="K114" i="6"/>
  <c r="T113" i="6"/>
  <c r="U113" i="6" s="1"/>
  <c r="N113" i="6"/>
  <c r="P113" i="6" s="1"/>
  <c r="K113" i="6"/>
  <c r="U112" i="6"/>
  <c r="T112" i="6"/>
  <c r="N112" i="6"/>
  <c r="P112" i="6" s="1"/>
  <c r="K112" i="6"/>
  <c r="T111" i="6"/>
  <c r="U111" i="6" s="1"/>
  <c r="V111" i="6" s="1"/>
  <c r="N111" i="6"/>
  <c r="P111" i="6" s="1"/>
  <c r="K111" i="6"/>
  <c r="U110" i="6"/>
  <c r="T110" i="6"/>
  <c r="P110" i="6"/>
  <c r="N110" i="6"/>
  <c r="K110" i="6"/>
  <c r="V109" i="6"/>
  <c r="T109" i="6"/>
  <c r="U109" i="6" s="1"/>
  <c r="N109" i="6"/>
  <c r="P109" i="6" s="1"/>
  <c r="K109" i="6"/>
  <c r="V108" i="6"/>
  <c r="U108" i="6"/>
  <c r="T108" i="6"/>
  <c r="P108" i="6"/>
  <c r="N108" i="6"/>
  <c r="K108" i="6"/>
  <c r="T107" i="6"/>
  <c r="U107" i="6" s="1"/>
  <c r="V107" i="6" s="1"/>
  <c r="N107" i="6"/>
  <c r="P107" i="6" s="1"/>
  <c r="K107" i="6"/>
  <c r="G107" i="6"/>
  <c r="G127" i="6" s="1"/>
  <c r="U106" i="6"/>
  <c r="V106" i="6" s="1"/>
  <c r="T106" i="6"/>
  <c r="N106" i="6"/>
  <c r="P106" i="6" s="1"/>
  <c r="K106" i="6"/>
  <c r="T105" i="6"/>
  <c r="U105" i="6" s="1"/>
  <c r="V105" i="6" s="1"/>
  <c r="P105" i="6"/>
  <c r="N105" i="6"/>
  <c r="K105" i="6"/>
  <c r="T104" i="6"/>
  <c r="U104" i="6" s="1"/>
  <c r="V104" i="6" s="1"/>
  <c r="P104" i="6"/>
  <c r="N104" i="6"/>
  <c r="K104" i="6"/>
  <c r="G104" i="6"/>
  <c r="T103" i="6"/>
  <c r="N103" i="6"/>
  <c r="P103" i="6" s="1"/>
  <c r="N102" i="6"/>
  <c r="C102" i="6"/>
  <c r="V101" i="6"/>
  <c r="P101" i="6"/>
  <c r="N101" i="6"/>
  <c r="Y100" i="6"/>
  <c r="S100" i="6"/>
  <c r="R100" i="6"/>
  <c r="Q100" i="6"/>
  <c r="M100" i="6"/>
  <c r="L100" i="6"/>
  <c r="J100" i="6"/>
  <c r="I100" i="6"/>
  <c r="G100" i="6"/>
  <c r="F100" i="6"/>
  <c r="T99" i="6"/>
  <c r="U99" i="6" s="1"/>
  <c r="V99" i="6" s="1"/>
  <c r="P99" i="6"/>
  <c r="N99" i="6"/>
  <c r="K99" i="6"/>
  <c r="T98" i="6"/>
  <c r="U98" i="6" s="1"/>
  <c r="N98" i="6"/>
  <c r="P98" i="6" s="1"/>
  <c r="K98" i="6"/>
  <c r="U97" i="6"/>
  <c r="T97" i="6"/>
  <c r="P97" i="6"/>
  <c r="N97" i="6"/>
  <c r="K97" i="6"/>
  <c r="T96" i="6"/>
  <c r="U96" i="6" s="1"/>
  <c r="N96" i="6"/>
  <c r="P96" i="6" s="1"/>
  <c r="K96" i="6"/>
  <c r="U95" i="6"/>
  <c r="T95" i="6"/>
  <c r="P95" i="6"/>
  <c r="N95" i="6"/>
  <c r="K95" i="6"/>
  <c r="K100" i="6" s="1"/>
  <c r="W100" i="6" s="1"/>
  <c r="V94" i="6"/>
  <c r="T94" i="6"/>
  <c r="U94" i="6" s="1"/>
  <c r="N94" i="6"/>
  <c r="P94" i="6" s="1"/>
  <c r="K94" i="6"/>
  <c r="U93" i="6"/>
  <c r="V93" i="6" s="1"/>
  <c r="T93" i="6"/>
  <c r="P93" i="6"/>
  <c r="N93" i="6"/>
  <c r="K93" i="6"/>
  <c r="T92" i="6"/>
  <c r="U92" i="6" s="1"/>
  <c r="V92" i="6" s="1"/>
  <c r="N92" i="6"/>
  <c r="P92" i="6" s="1"/>
  <c r="K92" i="6"/>
  <c r="U91" i="6"/>
  <c r="T91" i="6"/>
  <c r="P91" i="6"/>
  <c r="N91" i="6"/>
  <c r="U90" i="6"/>
  <c r="T90" i="6"/>
  <c r="N90" i="6"/>
  <c r="P89" i="6"/>
  <c r="V89" i="6" s="1"/>
  <c r="N89" i="6"/>
  <c r="N88" i="6"/>
  <c r="P88" i="6" s="1"/>
  <c r="V88" i="6" s="1"/>
  <c r="Y87" i="6"/>
  <c r="S87" i="6"/>
  <c r="R87" i="6"/>
  <c r="Q87" i="6"/>
  <c r="M87" i="6"/>
  <c r="L87" i="6"/>
  <c r="J87" i="6"/>
  <c r="I87" i="6"/>
  <c r="F87" i="6"/>
  <c r="D87" i="6"/>
  <c r="C87" i="6"/>
  <c r="T86" i="6"/>
  <c r="U86" i="6" s="1"/>
  <c r="P86" i="6"/>
  <c r="N86" i="6"/>
  <c r="K86" i="6"/>
  <c r="T85" i="6"/>
  <c r="U85" i="6" s="1"/>
  <c r="N85" i="6"/>
  <c r="P85" i="6" s="1"/>
  <c r="V85" i="6" s="1"/>
  <c r="K85" i="6"/>
  <c r="U84" i="6"/>
  <c r="T84" i="6"/>
  <c r="P84" i="6"/>
  <c r="N84" i="6"/>
  <c r="K84" i="6"/>
  <c r="T83" i="6"/>
  <c r="U83" i="6" s="1"/>
  <c r="V83" i="6" s="1"/>
  <c r="N83" i="6"/>
  <c r="P83" i="6" s="1"/>
  <c r="K83" i="6"/>
  <c r="U82" i="6"/>
  <c r="V82" i="6" s="1"/>
  <c r="T82" i="6"/>
  <c r="P82" i="6"/>
  <c r="N82" i="6"/>
  <c r="K82" i="6"/>
  <c r="T81" i="6"/>
  <c r="U81" i="6" s="1"/>
  <c r="N81" i="6"/>
  <c r="P81" i="6" s="1"/>
  <c r="V81" i="6" s="1"/>
  <c r="K81" i="6"/>
  <c r="U80" i="6"/>
  <c r="V80" i="6" s="1"/>
  <c r="T80" i="6"/>
  <c r="P80" i="6"/>
  <c r="N80" i="6"/>
  <c r="K80" i="6"/>
  <c r="T79" i="6"/>
  <c r="U79" i="6" s="1"/>
  <c r="V79" i="6" s="1"/>
  <c r="N79" i="6"/>
  <c r="P79" i="6" s="1"/>
  <c r="K79" i="6"/>
  <c r="G79" i="6"/>
  <c r="G87" i="6" s="1"/>
  <c r="U78" i="6"/>
  <c r="V78" i="6" s="1"/>
  <c r="T78" i="6"/>
  <c r="N78" i="6"/>
  <c r="K78" i="6"/>
  <c r="T77" i="6"/>
  <c r="P77" i="6"/>
  <c r="N77" i="6"/>
  <c r="K77" i="6"/>
  <c r="P76" i="6"/>
  <c r="V76" i="6" s="1"/>
  <c r="N76" i="6"/>
  <c r="V75" i="6"/>
  <c r="P75" i="6"/>
  <c r="N75" i="6"/>
  <c r="Y74" i="6"/>
  <c r="S74" i="6"/>
  <c r="R74" i="6"/>
  <c r="Q74" i="6"/>
  <c r="M74" i="6"/>
  <c r="L74" i="6"/>
  <c r="J74" i="6"/>
  <c r="I74" i="6"/>
  <c r="H74" i="6"/>
  <c r="F74" i="6"/>
  <c r="D74" i="6"/>
  <c r="C74" i="6"/>
  <c r="T73" i="6"/>
  <c r="U73" i="6" s="1"/>
  <c r="V73" i="6" s="1"/>
  <c r="N73" i="6"/>
  <c r="P73" i="6" s="1"/>
  <c r="K73" i="6"/>
  <c r="V72" i="6"/>
  <c r="U72" i="6"/>
  <c r="T72" i="6"/>
  <c r="P72" i="6"/>
  <c r="N72" i="6"/>
  <c r="K72" i="6"/>
  <c r="T71" i="6"/>
  <c r="U71" i="6" s="1"/>
  <c r="V71" i="6" s="1"/>
  <c r="N71" i="6"/>
  <c r="P71" i="6" s="1"/>
  <c r="K71" i="6"/>
  <c r="T70" i="6"/>
  <c r="U70" i="6" s="1"/>
  <c r="V70" i="6" s="1"/>
  <c r="P70" i="6"/>
  <c r="N70" i="6"/>
  <c r="K70" i="6"/>
  <c r="T69" i="6"/>
  <c r="U69" i="6" s="1"/>
  <c r="V69" i="6" s="1"/>
  <c r="N69" i="6"/>
  <c r="P69" i="6" s="1"/>
  <c r="K69" i="6"/>
  <c r="U68" i="6"/>
  <c r="T68" i="6"/>
  <c r="N68" i="6"/>
  <c r="P68" i="6" s="1"/>
  <c r="V68" i="6" s="1"/>
  <c r="K68" i="6"/>
  <c r="T67" i="6"/>
  <c r="U67" i="6" s="1"/>
  <c r="V67" i="6" s="1"/>
  <c r="N67" i="6"/>
  <c r="P67" i="6" s="1"/>
  <c r="K67" i="6"/>
  <c r="U66" i="6"/>
  <c r="T66" i="6"/>
  <c r="N66" i="6"/>
  <c r="P66" i="6" s="1"/>
  <c r="K66" i="6"/>
  <c r="T65" i="6"/>
  <c r="U65" i="6" s="1"/>
  <c r="P65" i="6"/>
  <c r="N65" i="6"/>
  <c r="K65" i="6"/>
  <c r="G65" i="6"/>
  <c r="G74" i="6" s="1"/>
  <c r="T64" i="6"/>
  <c r="U64" i="6" s="1"/>
  <c r="P64" i="6"/>
  <c r="N64" i="6"/>
  <c r="K64" i="6"/>
  <c r="N63" i="6"/>
  <c r="P63" i="6" s="1"/>
  <c r="V63" i="6" s="1"/>
  <c r="V62" i="6"/>
  <c r="P62" i="6"/>
  <c r="N62" i="6"/>
  <c r="Y61" i="6"/>
  <c r="T61" i="6"/>
  <c r="S61" i="6"/>
  <c r="R61" i="6"/>
  <c r="Q61" i="6"/>
  <c r="L61" i="6"/>
  <c r="J61" i="6"/>
  <c r="I61" i="6"/>
  <c r="G61" i="6"/>
  <c r="F61" i="6"/>
  <c r="D61" i="6"/>
  <c r="C61" i="6"/>
  <c r="V60" i="6"/>
  <c r="U60" i="6"/>
  <c r="T60" i="6"/>
  <c r="P60" i="6"/>
  <c r="N60" i="6"/>
  <c r="K60" i="6"/>
  <c r="U59" i="6"/>
  <c r="V59" i="6" s="1"/>
  <c r="T59" i="6"/>
  <c r="N59" i="6"/>
  <c r="P59" i="6" s="1"/>
  <c r="K59" i="6"/>
  <c r="T58" i="6"/>
  <c r="U58" i="6" s="1"/>
  <c r="V58" i="6" s="1"/>
  <c r="P58" i="6"/>
  <c r="N58" i="6"/>
  <c r="K58" i="6"/>
  <c r="T57" i="6"/>
  <c r="U57" i="6" s="1"/>
  <c r="P57" i="6"/>
  <c r="N57" i="6"/>
  <c r="K57" i="6"/>
  <c r="T56" i="6"/>
  <c r="U56" i="6" s="1"/>
  <c r="V56" i="6" s="1"/>
  <c r="N56" i="6"/>
  <c r="P56" i="6" s="1"/>
  <c r="K56" i="6"/>
  <c r="T55" i="6"/>
  <c r="U55" i="6" s="1"/>
  <c r="M55" i="6"/>
  <c r="K55" i="6"/>
  <c r="G55" i="6"/>
  <c r="T54" i="6"/>
  <c r="U54" i="6" s="1"/>
  <c r="N54" i="6"/>
  <c r="P54" i="6" s="1"/>
  <c r="K54" i="6"/>
  <c r="G54" i="6"/>
  <c r="T53" i="6"/>
  <c r="U53" i="6" s="1"/>
  <c r="N53" i="6"/>
  <c r="P53" i="6" s="1"/>
  <c r="K53" i="6"/>
  <c r="T52" i="6"/>
  <c r="U52" i="6" s="1"/>
  <c r="N52" i="6"/>
  <c r="K52" i="6"/>
  <c r="K61" i="6" s="1"/>
  <c r="P51" i="6"/>
  <c r="V51" i="6" s="1"/>
  <c r="N51" i="6"/>
  <c r="N50" i="6"/>
  <c r="P50" i="6" s="1"/>
  <c r="V50" i="6" s="1"/>
  <c r="Y49" i="6"/>
  <c r="S49" i="6"/>
  <c r="R49" i="6"/>
  <c r="Q49" i="6"/>
  <c r="M49" i="6"/>
  <c r="L49" i="6"/>
  <c r="J49" i="6"/>
  <c r="I49" i="6"/>
  <c r="G49" i="6"/>
  <c r="C49" i="6"/>
  <c r="T48" i="6"/>
  <c r="U48" i="6" s="1"/>
  <c r="V48" i="6" s="1"/>
  <c r="P48" i="6"/>
  <c r="N48" i="6"/>
  <c r="K48" i="6"/>
  <c r="T47" i="6"/>
  <c r="U47" i="6" s="1"/>
  <c r="V47" i="6" s="1"/>
  <c r="N47" i="6"/>
  <c r="P47" i="6" s="1"/>
  <c r="K47" i="6"/>
  <c r="T46" i="6"/>
  <c r="U46" i="6" s="1"/>
  <c r="V46" i="6" s="1"/>
  <c r="N46" i="6"/>
  <c r="P46" i="6" s="1"/>
  <c r="K46" i="6"/>
  <c r="U45" i="6"/>
  <c r="T45" i="6"/>
  <c r="N45" i="6"/>
  <c r="P45" i="6" s="1"/>
  <c r="K45" i="6"/>
  <c r="T44" i="6"/>
  <c r="U44" i="6" s="1"/>
  <c r="V44" i="6" s="1"/>
  <c r="N44" i="6"/>
  <c r="P44" i="6" s="1"/>
  <c r="K44" i="6"/>
  <c r="V43" i="6"/>
  <c r="U43" i="6"/>
  <c r="T43" i="6"/>
  <c r="P43" i="6"/>
  <c r="N43" i="6"/>
  <c r="K43" i="6"/>
  <c r="U42" i="6"/>
  <c r="V42" i="6" s="1"/>
  <c r="T42" i="6"/>
  <c r="N42" i="6"/>
  <c r="P42" i="6" s="1"/>
  <c r="K42" i="6"/>
  <c r="U41" i="6"/>
  <c r="V41" i="6" s="1"/>
  <c r="P41" i="6"/>
  <c r="K41" i="6"/>
  <c r="U40" i="6"/>
  <c r="N40" i="6"/>
  <c r="P40" i="6" s="1"/>
  <c r="V40" i="6" s="1"/>
  <c r="K40" i="6"/>
  <c r="F40" i="6"/>
  <c r="F49" i="6" s="1"/>
  <c r="U39" i="6"/>
  <c r="T39" i="6"/>
  <c r="T49" i="6" s="1"/>
  <c r="N39" i="6"/>
  <c r="P39" i="6" s="1"/>
  <c r="K39" i="6"/>
  <c r="K49" i="6" s="1"/>
  <c r="W49" i="6" s="1"/>
  <c r="N38" i="6"/>
  <c r="P38" i="6" s="1"/>
  <c r="V38" i="6" s="1"/>
  <c r="N37" i="6"/>
  <c r="P37" i="6" s="1"/>
  <c r="V37" i="6" s="1"/>
  <c r="N36" i="6"/>
  <c r="P36" i="6" s="1"/>
  <c r="V36" i="6" s="1"/>
  <c r="Y35" i="6"/>
  <c r="S35" i="6"/>
  <c r="R35" i="6"/>
  <c r="Q35" i="6"/>
  <c r="L35" i="6"/>
  <c r="J35" i="6"/>
  <c r="I35" i="6"/>
  <c r="G35" i="6"/>
  <c r="F35" i="6"/>
  <c r="E35" i="6"/>
  <c r="U34" i="6"/>
  <c r="V34" i="6" s="1"/>
  <c r="T34" i="6"/>
  <c r="N34" i="6"/>
  <c r="P34" i="6" s="1"/>
  <c r="K34" i="6"/>
  <c r="T33" i="6"/>
  <c r="U33" i="6" s="1"/>
  <c r="V33" i="6" s="1"/>
  <c r="P33" i="6"/>
  <c r="N33" i="6"/>
  <c r="K33" i="6"/>
  <c r="T32" i="6"/>
  <c r="U32" i="6" s="1"/>
  <c r="V32" i="6" s="1"/>
  <c r="P32" i="6"/>
  <c r="N32" i="6"/>
  <c r="K32" i="6"/>
  <c r="U31" i="6"/>
  <c r="T31" i="6"/>
  <c r="N31" i="6"/>
  <c r="P31" i="6" s="1"/>
  <c r="K31" i="6"/>
  <c r="T30" i="6"/>
  <c r="U30" i="6" s="1"/>
  <c r="V30" i="6" s="1"/>
  <c r="N30" i="6"/>
  <c r="P30" i="6" s="1"/>
  <c r="K30" i="6"/>
  <c r="U29" i="6"/>
  <c r="T29" i="6"/>
  <c r="M29" i="6"/>
  <c r="M35" i="6" s="1"/>
  <c r="K29" i="6"/>
  <c r="K35" i="6" s="1"/>
  <c r="U28" i="6"/>
  <c r="V28" i="6" s="1"/>
  <c r="T28" i="6"/>
  <c r="P28" i="6"/>
  <c r="N28" i="6"/>
  <c r="K28" i="6"/>
  <c r="T27" i="6"/>
  <c r="U27" i="6" s="1"/>
  <c r="N27" i="6"/>
  <c r="P27" i="6" s="1"/>
  <c r="K27" i="6"/>
  <c r="A27" i="6"/>
  <c r="A28" i="6" s="1"/>
  <c r="A29" i="6" s="1"/>
  <c r="A30" i="6" s="1"/>
  <c r="A31" i="6" s="1"/>
  <c r="A32" i="6" s="1"/>
  <c r="A33" i="6" s="1"/>
  <c r="A34" i="6" s="1"/>
  <c r="A35"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58" i="6" s="1"/>
  <c r="A59" i="6" s="1"/>
  <c r="A60" i="6" s="1"/>
  <c r="A61" i="6" s="1"/>
  <c r="A62" i="6" s="1"/>
  <c r="A63" i="6" s="1"/>
  <c r="A64" i="6" s="1"/>
  <c r="A65" i="6" s="1"/>
  <c r="A66" i="6" s="1"/>
  <c r="A67" i="6" s="1"/>
  <c r="A68" i="6" s="1"/>
  <c r="A69" i="6" s="1"/>
  <c r="A70" i="6" s="1"/>
  <c r="A71" i="6" s="1"/>
  <c r="A72" i="6" s="1"/>
  <c r="A73" i="6" s="1"/>
  <c r="A74" i="6" s="1"/>
  <c r="A75" i="6" s="1"/>
  <c r="A76" i="6" s="1"/>
  <c r="A77" i="6" s="1"/>
  <c r="A78" i="6" s="1"/>
  <c r="A79" i="6" s="1"/>
  <c r="A80" i="6" s="1"/>
  <c r="A81" i="6" s="1"/>
  <c r="A82" i="6" s="1"/>
  <c r="A83" i="6" s="1"/>
  <c r="A84" i="6" s="1"/>
  <c r="A85" i="6" s="1"/>
  <c r="A86" i="6" s="1"/>
  <c r="A87" i="6" s="1"/>
  <c r="A88" i="6" s="1"/>
  <c r="A89" i="6" s="1"/>
  <c r="A90" i="6" s="1"/>
  <c r="A91" i="6" s="1"/>
  <c r="A92" i="6" s="1"/>
  <c r="A93" i="6" s="1"/>
  <c r="A94" i="6" s="1"/>
  <c r="A95" i="6" s="1"/>
  <c r="A96" i="6" s="1"/>
  <c r="A97" i="6" s="1"/>
  <c r="A98" i="6" s="1"/>
  <c r="A99" i="6" s="1"/>
  <c r="A100" i="6" s="1"/>
  <c r="A101" i="6" s="1"/>
  <c r="A102" i="6" s="1"/>
  <c r="A103" i="6" s="1"/>
  <c r="A104" i="6" s="1"/>
  <c r="A105" i="6" s="1"/>
  <c r="A106" i="6" s="1"/>
  <c r="A107" i="6" s="1"/>
  <c r="A108" i="6" s="1"/>
  <c r="A109" i="6" s="1"/>
  <c r="A110" i="6" s="1"/>
  <c r="A111" i="6" s="1"/>
  <c r="A112" i="6" s="1"/>
  <c r="A113" i="6" s="1"/>
  <c r="A114" i="6" s="1"/>
  <c r="A115" i="6" s="1"/>
  <c r="A116" i="6" s="1"/>
  <c r="A117" i="6" s="1"/>
  <c r="A118" i="6" s="1"/>
  <c r="A119" i="6" s="1"/>
  <c r="A120" i="6" s="1"/>
  <c r="A121" i="6" s="1"/>
  <c r="A122" i="6" s="1"/>
  <c r="A123" i="6" s="1"/>
  <c r="A124" i="6" s="1"/>
  <c r="A125" i="6" s="1"/>
  <c r="A126" i="6" s="1"/>
  <c r="A127" i="6" s="1"/>
  <c r="A128" i="6" s="1"/>
  <c r="A129" i="6" s="1"/>
  <c r="A130" i="6" s="1"/>
  <c r="A131" i="6" s="1"/>
  <c r="A132" i="6" s="1"/>
  <c r="A133" i="6" s="1"/>
  <c r="A134" i="6" s="1"/>
  <c r="A135" i="6" s="1"/>
  <c r="A136" i="6" s="1"/>
  <c r="A137" i="6" s="1"/>
  <c r="A138" i="6" s="1"/>
  <c r="A139" i="6" s="1"/>
  <c r="A140" i="6" s="1"/>
  <c r="A142" i="6" s="1"/>
  <c r="A143" i="6" s="1"/>
  <c r="A144" i="6" s="1"/>
  <c r="A145" i="6" s="1"/>
  <c r="A146" i="6" s="1"/>
  <c r="A147" i="6" s="1"/>
  <c r="A148" i="6" s="1"/>
  <c r="V26" i="6"/>
  <c r="U26" i="6"/>
  <c r="N26" i="6"/>
  <c r="P26" i="6" s="1"/>
  <c r="T25" i="6"/>
  <c r="U25" i="6" s="1"/>
  <c r="P25" i="6"/>
  <c r="N25" i="6"/>
  <c r="K25" i="6"/>
  <c r="W24" i="6"/>
  <c r="N24" i="6"/>
  <c r="P24" i="6" s="1"/>
  <c r="V24" i="6" s="1"/>
  <c r="A24" i="6"/>
  <c r="A25" i="6" s="1"/>
  <c r="A26" i="6" s="1"/>
  <c r="W23" i="6"/>
  <c r="P23" i="6"/>
  <c r="V23" i="6" s="1"/>
  <c r="N23" i="6"/>
  <c r="A23" i="6"/>
  <c r="AA22" i="6"/>
  <c r="Y22" i="6"/>
  <c r="S22" i="6"/>
  <c r="R22" i="6"/>
  <c r="Q22" i="6"/>
  <c r="N22" i="6"/>
  <c r="P22" i="6" s="1"/>
  <c r="M22" i="6"/>
  <c r="L22" i="6"/>
  <c r="J22" i="6"/>
  <c r="I22" i="6"/>
  <c r="H22" i="6"/>
  <c r="G22" i="6"/>
  <c r="F22" i="6"/>
  <c r="E22" i="6"/>
  <c r="D22" i="6"/>
  <c r="C22" i="6"/>
  <c r="U21" i="6"/>
  <c r="T21" i="6"/>
  <c r="N21" i="6"/>
  <c r="P21" i="6" s="1"/>
  <c r="T20" i="6"/>
  <c r="U20" i="6" s="1"/>
  <c r="N20" i="6"/>
  <c r="P20" i="6" s="1"/>
  <c r="U19" i="6"/>
  <c r="V19" i="6" s="1"/>
  <c r="T19" i="6"/>
  <c r="P19" i="6"/>
  <c r="N19" i="6"/>
  <c r="T18" i="6"/>
  <c r="U18" i="6" s="1"/>
  <c r="N18" i="6"/>
  <c r="P18" i="6" s="1"/>
  <c r="T17" i="6"/>
  <c r="U17" i="6" s="1"/>
  <c r="N17" i="6"/>
  <c r="P17" i="6" s="1"/>
  <c r="V16" i="6"/>
  <c r="U16" i="6"/>
  <c r="T16" i="6"/>
  <c r="N16" i="6"/>
  <c r="P16" i="6" s="1"/>
  <c r="T15" i="6"/>
  <c r="U15" i="6" s="1"/>
  <c r="V15" i="6" s="1"/>
  <c r="P15" i="6"/>
  <c r="N15" i="6"/>
  <c r="K15" i="6"/>
  <c r="T14" i="6"/>
  <c r="U14" i="6" s="1"/>
  <c r="N14" i="6"/>
  <c r="P14" i="6" s="1"/>
  <c r="K14" i="6"/>
  <c r="T13" i="6"/>
  <c r="U13" i="6" s="1"/>
  <c r="V13" i="6" s="1"/>
  <c r="N13" i="6"/>
  <c r="P13" i="6" s="1"/>
  <c r="K13" i="6"/>
  <c r="U12" i="6"/>
  <c r="V12" i="6" s="1"/>
  <c r="T12" i="6"/>
  <c r="N12" i="6"/>
  <c r="P12" i="6" s="1"/>
  <c r="K12" i="6"/>
  <c r="T11" i="6"/>
  <c r="U11" i="6" s="1"/>
  <c r="N11" i="6"/>
  <c r="P11" i="6" s="1"/>
  <c r="K11" i="6"/>
  <c r="W10" i="6"/>
  <c r="T10" i="6"/>
  <c r="U10" i="6" s="1"/>
  <c r="V10" i="6" s="1"/>
  <c r="W9" i="6"/>
  <c r="V8" i="6"/>
  <c r="V149" i="5"/>
  <c r="V148" i="5"/>
  <c r="V147" i="5"/>
  <c r="V146" i="5"/>
  <c r="V145" i="5"/>
  <c r="V144" i="5"/>
  <c r="V143" i="5"/>
  <c r="V142" i="5"/>
  <c r="V141" i="5"/>
  <c r="V140" i="5"/>
  <c r="V139" i="5"/>
  <c r="V138" i="5"/>
  <c r="V137" i="5"/>
  <c r="V136" i="5"/>
  <c r="V135" i="5"/>
  <c r="V134" i="5"/>
  <c r="V133" i="5"/>
  <c r="V132" i="5"/>
  <c r="V131" i="5"/>
  <c r="V130" i="5"/>
  <c r="V129" i="5"/>
  <c r="V128" i="5"/>
  <c r="V127" i="5"/>
  <c r="V126" i="5"/>
  <c r="V125" i="5"/>
  <c r="V124" i="5"/>
  <c r="V123" i="5"/>
  <c r="V122" i="5"/>
  <c r="V121" i="5"/>
  <c r="V120" i="5"/>
  <c r="V119" i="5"/>
  <c r="V118" i="5"/>
  <c r="V117" i="5"/>
  <c r="V116" i="5"/>
  <c r="V115" i="5"/>
  <c r="V114" i="5"/>
  <c r="V113" i="5"/>
  <c r="V112" i="5"/>
  <c r="V111" i="5"/>
  <c r="V110" i="5"/>
  <c r="V109" i="5"/>
  <c r="V108" i="5"/>
  <c r="V107" i="5"/>
  <c r="V106" i="5"/>
  <c r="V105" i="5"/>
  <c r="V104" i="5"/>
  <c r="V103" i="5"/>
  <c r="V102" i="5"/>
  <c r="V101" i="5"/>
  <c r="V100" i="5"/>
  <c r="V99" i="5"/>
  <c r="V98" i="5"/>
  <c r="V97" i="5"/>
  <c r="V96" i="5"/>
  <c r="V95" i="5"/>
  <c r="V94" i="5"/>
  <c r="V93" i="5"/>
  <c r="V92" i="5"/>
  <c r="V91" i="5"/>
  <c r="V90" i="5"/>
  <c r="V89" i="5"/>
  <c r="V88" i="5"/>
  <c r="V87" i="5"/>
  <c r="V86" i="5"/>
  <c r="V85" i="5"/>
  <c r="V84" i="5"/>
  <c r="V83" i="5"/>
  <c r="V82" i="5"/>
  <c r="V81" i="5"/>
  <c r="V80" i="5"/>
  <c r="V79" i="5"/>
  <c r="V78" i="5"/>
  <c r="V77" i="5"/>
  <c r="V76" i="5"/>
  <c r="V75" i="5"/>
  <c r="V74" i="5"/>
  <c r="V73" i="5"/>
  <c r="V72" i="5"/>
  <c r="V71" i="5"/>
  <c r="V70" i="5"/>
  <c r="V69" i="5"/>
  <c r="V68" i="5"/>
  <c r="V67" i="5"/>
  <c r="V66" i="5"/>
  <c r="V65" i="5"/>
  <c r="V64" i="5"/>
  <c r="V63" i="5"/>
  <c r="V62" i="5"/>
  <c r="V61" i="5"/>
  <c r="V60" i="5"/>
  <c r="V59" i="5"/>
  <c r="V57" i="5"/>
  <c r="P57" i="5"/>
  <c r="N57" i="5"/>
  <c r="R56" i="5"/>
  <c r="L56" i="5"/>
  <c r="I56" i="5"/>
  <c r="K54" i="5" s="1"/>
  <c r="E56" i="5"/>
  <c r="S55" i="5"/>
  <c r="T55" i="5" s="1"/>
  <c r="K55" i="5"/>
  <c r="J55" i="5"/>
  <c r="J56" i="5" s="1"/>
  <c r="C55" i="5"/>
  <c r="C52" i="5" s="1"/>
  <c r="C56" i="5" s="1"/>
  <c r="U54" i="5"/>
  <c r="V54" i="5" s="1"/>
  <c r="T54" i="5"/>
  <c r="N54" i="5"/>
  <c r="P54" i="5" s="1"/>
  <c r="T53" i="5"/>
  <c r="P53" i="5"/>
  <c r="N53" i="5"/>
  <c r="K53" i="5"/>
  <c r="W53" i="5" s="1"/>
  <c r="G53" i="5"/>
  <c r="W52" i="5"/>
  <c r="P52" i="5"/>
  <c r="N52" i="5"/>
  <c r="W51" i="5"/>
  <c r="N51" i="5"/>
  <c r="P51" i="5" s="1"/>
  <c r="W50" i="5"/>
  <c r="P50" i="5"/>
  <c r="N50" i="5"/>
  <c r="R49" i="5"/>
  <c r="L49" i="5"/>
  <c r="I49" i="5"/>
  <c r="K46" i="5" s="1"/>
  <c r="H49" i="5"/>
  <c r="E49" i="5"/>
  <c r="D49" i="5"/>
  <c r="T48" i="5"/>
  <c r="S48" i="5"/>
  <c r="S49" i="5" s="1"/>
  <c r="Q48" i="5"/>
  <c r="Q49" i="5" s="1"/>
  <c r="M48" i="5"/>
  <c r="J48" i="5"/>
  <c r="J49" i="5" s="1"/>
  <c r="C48" i="5"/>
  <c r="C49" i="5" s="1"/>
  <c r="W47" i="5"/>
  <c r="U47" i="5"/>
  <c r="T47" i="5"/>
  <c r="P47" i="5"/>
  <c r="V47" i="5" s="1"/>
  <c r="N47" i="5"/>
  <c r="T46" i="5"/>
  <c r="U46" i="5" s="1"/>
  <c r="V46" i="5" s="1"/>
  <c r="P46" i="5"/>
  <c r="N46" i="5"/>
  <c r="T45" i="5"/>
  <c r="U45" i="5" s="1"/>
  <c r="N45" i="5"/>
  <c r="P45" i="5" s="1"/>
  <c r="K45" i="5"/>
  <c r="U44" i="5"/>
  <c r="V44" i="5" s="1"/>
  <c r="T44" i="5"/>
  <c r="P44" i="5"/>
  <c r="N44" i="5"/>
  <c r="K44" i="5"/>
  <c r="T43" i="5"/>
  <c r="U43" i="5" s="1"/>
  <c r="V43" i="5" s="1"/>
  <c r="N43" i="5"/>
  <c r="K43" i="5"/>
  <c r="V42" i="5"/>
  <c r="U42" i="5"/>
  <c r="T42" i="5"/>
  <c r="N42" i="5"/>
  <c r="K42" i="5"/>
  <c r="T41" i="5"/>
  <c r="U41" i="5" s="1"/>
  <c r="V41" i="5" s="1"/>
  <c r="N41" i="5"/>
  <c r="K41" i="5"/>
  <c r="T40" i="5"/>
  <c r="U40" i="5" s="1"/>
  <c r="N40" i="5"/>
  <c r="P40" i="5" s="1"/>
  <c r="V40" i="5" s="1"/>
  <c r="K40" i="5"/>
  <c r="U39" i="5"/>
  <c r="V39" i="5" s="1"/>
  <c r="T39" i="5"/>
  <c r="N39" i="5"/>
  <c r="K39" i="5"/>
  <c r="U38" i="5"/>
  <c r="N38" i="5"/>
  <c r="P38" i="5" s="1"/>
  <c r="V38" i="5" s="1"/>
  <c r="W37" i="5"/>
  <c r="U37" i="5"/>
  <c r="V37" i="5" s="1"/>
  <c r="T37" i="5"/>
  <c r="P37" i="5"/>
  <c r="N37" i="5"/>
  <c r="W36" i="5"/>
  <c r="T36" i="5"/>
  <c r="U36" i="5" s="1"/>
  <c r="P36" i="5"/>
  <c r="N36" i="5"/>
  <c r="W35" i="5"/>
  <c r="U35" i="5"/>
  <c r="T35" i="5"/>
  <c r="N35" i="5"/>
  <c r="P35" i="5" s="1"/>
  <c r="R34" i="5"/>
  <c r="L34" i="5"/>
  <c r="I34" i="5"/>
  <c r="H34" i="5"/>
  <c r="E34" i="5"/>
  <c r="D34" i="5"/>
  <c r="C34" i="5"/>
  <c r="A34" i="5"/>
  <c r="A35" i="5" s="1"/>
  <c r="A36" i="5" s="1"/>
  <c r="A37" i="5" s="1"/>
  <c r="A38" i="5" s="1"/>
  <c r="A39" i="5" s="1"/>
  <c r="A40" i="5" s="1"/>
  <c r="A41" i="5" s="1"/>
  <c r="A42" i="5" s="1"/>
  <c r="A43" i="5" s="1"/>
  <c r="A44" i="5" s="1"/>
  <c r="A45" i="5" s="1"/>
  <c r="A48" i="5" s="1"/>
  <c r="A49" i="5" s="1"/>
  <c r="A50" i="5" s="1"/>
  <c r="A51" i="5" s="1"/>
  <c r="A52" i="5" s="1"/>
  <c r="A53" i="5" s="1"/>
  <c r="A55" i="5" s="1"/>
  <c r="A56" i="5" s="1"/>
  <c r="A57" i="5" s="1"/>
  <c r="A58" i="5" s="1"/>
  <c r="A7" i="6" s="1"/>
  <c r="A8" i="6" s="1"/>
  <c r="A9" i="6" s="1"/>
  <c r="A10" i="6" s="1"/>
  <c r="A11" i="6" s="1"/>
  <c r="A12" i="6" s="1"/>
  <c r="A13" i="6" s="1"/>
  <c r="A14" i="6" s="1"/>
  <c r="A15" i="6" s="1"/>
  <c r="A16" i="6" s="1"/>
  <c r="A17" i="6" s="1"/>
  <c r="A18" i="6" s="1"/>
  <c r="Q33" i="5"/>
  <c r="Q34" i="5" s="1"/>
  <c r="M33" i="5"/>
  <c r="N33" i="5" s="1"/>
  <c r="P33" i="5" s="1"/>
  <c r="J33" i="5"/>
  <c r="J34" i="5" s="1"/>
  <c r="W32" i="5"/>
  <c r="T32" i="5"/>
  <c r="U32" i="5" s="1"/>
  <c r="P32" i="5"/>
  <c r="N32" i="5"/>
  <c r="W31" i="5"/>
  <c r="T31" i="5"/>
  <c r="U31" i="5" s="1"/>
  <c r="N31" i="5"/>
  <c r="P31" i="5" s="1"/>
  <c r="W30" i="5"/>
  <c r="T30" i="5"/>
  <c r="U30" i="5" s="1"/>
  <c r="N30" i="5"/>
  <c r="P30" i="5" s="1"/>
  <c r="W29" i="5"/>
  <c r="U29" i="5"/>
  <c r="T29" i="5"/>
  <c r="N29" i="5"/>
  <c r="P29" i="5" s="1"/>
  <c r="V29" i="5" s="1"/>
  <c r="K29" i="5"/>
  <c r="T28" i="5"/>
  <c r="P28" i="5"/>
  <c r="N28" i="5"/>
  <c r="K28" i="5"/>
  <c r="W27" i="5"/>
  <c r="T27" i="5"/>
  <c r="U27" i="5" s="1"/>
  <c r="V27" i="5" s="1"/>
  <c r="P27" i="5"/>
  <c r="N27" i="5"/>
  <c r="W26" i="5"/>
  <c r="T26" i="5"/>
  <c r="U26" i="5" s="1"/>
  <c r="N26" i="5"/>
  <c r="P26" i="5" s="1"/>
  <c r="S25" i="5"/>
  <c r="R25" i="5"/>
  <c r="Q25" i="5"/>
  <c r="M25" i="5"/>
  <c r="L25" i="5"/>
  <c r="J25" i="5"/>
  <c r="I25" i="5"/>
  <c r="H25" i="5"/>
  <c r="G25" i="5"/>
  <c r="F25" i="5"/>
  <c r="D25" i="5"/>
  <c r="W24" i="5"/>
  <c r="T24" i="5"/>
  <c r="U24" i="5" s="1"/>
  <c r="N24" i="5"/>
  <c r="P24" i="5" s="1"/>
  <c r="K24" i="5"/>
  <c r="C24" i="5"/>
  <c r="C25" i="5" s="1"/>
  <c r="W23" i="5"/>
  <c r="U23" i="5"/>
  <c r="T23" i="5"/>
  <c r="P23" i="5"/>
  <c r="N23" i="5"/>
  <c r="T22" i="5"/>
  <c r="N22" i="5"/>
  <c r="K22" i="5"/>
  <c r="K25" i="5" s="1"/>
  <c r="E22" i="5"/>
  <c r="E25" i="5" s="1"/>
  <c r="W21" i="5"/>
  <c r="V21" i="5"/>
  <c r="U21" i="5"/>
  <c r="T21" i="5"/>
  <c r="P21" i="5"/>
  <c r="N21" i="5"/>
  <c r="R20" i="5"/>
  <c r="L20" i="5"/>
  <c r="L58" i="5" s="1"/>
  <c r="L53" i="1" s="1"/>
  <c r="J20" i="5"/>
  <c r="I20" i="5"/>
  <c r="K18" i="5" s="1"/>
  <c r="W18" i="5" s="1"/>
  <c r="H20" i="5"/>
  <c r="E20" i="5"/>
  <c r="D20" i="5"/>
  <c r="Q19" i="5"/>
  <c r="Q20" i="5" s="1"/>
  <c r="M19" i="5"/>
  <c r="M20" i="5" s="1"/>
  <c r="K19" i="5"/>
  <c r="U18" i="5"/>
  <c r="V18" i="5" s="1"/>
  <c r="T18" i="5"/>
  <c r="N18" i="5"/>
  <c r="P18" i="5" s="1"/>
  <c r="W17" i="5"/>
  <c r="T17" i="5"/>
  <c r="U17" i="5" s="1"/>
  <c r="V17" i="5" s="1"/>
  <c r="P17" i="5"/>
  <c r="N17" i="5"/>
  <c r="K17" i="5"/>
  <c r="E17" i="5"/>
  <c r="T16" i="5"/>
  <c r="U16" i="5" s="1"/>
  <c r="V16" i="5" s="1"/>
  <c r="P16" i="5"/>
  <c r="N16" i="5"/>
  <c r="K16" i="5"/>
  <c r="G16" i="5"/>
  <c r="V15" i="5"/>
  <c r="U15" i="5"/>
  <c r="T15" i="5"/>
  <c r="N15" i="5"/>
  <c r="P15" i="5" s="1"/>
  <c r="K15" i="5"/>
  <c r="G15" i="5"/>
  <c r="W15" i="5" s="1"/>
  <c r="W14" i="5"/>
  <c r="V14" i="5"/>
  <c r="U14" i="5"/>
  <c r="T14" i="5"/>
  <c r="P14" i="5"/>
  <c r="N14" i="5"/>
  <c r="K14" i="5"/>
  <c r="W13" i="5"/>
  <c r="V13" i="5"/>
  <c r="U13" i="5"/>
  <c r="T13" i="5"/>
  <c r="P13" i="5"/>
  <c r="N13" i="5"/>
  <c r="K13" i="5"/>
  <c r="W12" i="5"/>
  <c r="V12" i="5"/>
  <c r="U12" i="5"/>
  <c r="T12" i="5"/>
  <c r="P12" i="5"/>
  <c r="N12" i="5"/>
  <c r="K12" i="5"/>
  <c r="G12" i="5"/>
  <c r="T11" i="5"/>
  <c r="U11" i="5" s="1"/>
  <c r="V11" i="5" s="1"/>
  <c r="N11" i="5"/>
  <c r="P11" i="5" s="1"/>
  <c r="K11" i="5"/>
  <c r="G11" i="5"/>
  <c r="U10" i="5"/>
  <c r="V10" i="5" s="1"/>
  <c r="T10" i="5"/>
  <c r="P10" i="5"/>
  <c r="N10" i="5"/>
  <c r="K10" i="5"/>
  <c r="W10" i="5" s="1"/>
  <c r="A10" i="5"/>
  <c r="A11" i="5" s="1"/>
  <c r="A12" i="5" s="1"/>
  <c r="A13" i="5" s="1"/>
  <c r="A14" i="5" s="1"/>
  <c r="A15" i="5" s="1"/>
  <c r="A16" i="5" s="1"/>
  <c r="A17" i="5" s="1"/>
  <c r="A19" i="5" s="1"/>
  <c r="A20" i="5" s="1"/>
  <c r="A21" i="5" s="1"/>
  <c r="A22" i="5" s="1"/>
  <c r="A23" i="5" s="1"/>
  <c r="A24" i="5" s="1"/>
  <c r="A25" i="5" s="1"/>
  <c r="A26" i="5" s="1"/>
  <c r="A27" i="5" s="1"/>
  <c r="U9" i="5"/>
  <c r="V9" i="5" s="1"/>
  <c r="T9" i="5"/>
  <c r="P9" i="5"/>
  <c r="N9" i="5"/>
  <c r="K9" i="5"/>
  <c r="W9" i="5" s="1"/>
  <c r="C9" i="5"/>
  <c r="C20" i="5" s="1"/>
  <c r="T8" i="5"/>
  <c r="N8" i="5"/>
  <c r="K8" i="5"/>
  <c r="W8" i="5" s="1"/>
  <c r="A8" i="5"/>
  <c r="A9" i="5" s="1"/>
  <c r="A7" i="5"/>
  <c r="K66" i="4"/>
  <c r="J66" i="4"/>
  <c r="J50" i="4"/>
  <c r="W44" i="4"/>
  <c r="K44" i="4"/>
  <c r="F27" i="4"/>
  <c r="K22" i="4"/>
  <c r="R20" i="4"/>
  <c r="R52" i="1" s="1"/>
  <c r="L20" i="4"/>
  <c r="I20" i="4"/>
  <c r="K19" i="4" s="1"/>
  <c r="W19" i="4" s="1"/>
  <c r="H20" i="4"/>
  <c r="D20" i="4"/>
  <c r="C20" i="4"/>
  <c r="T19" i="4"/>
  <c r="U19" i="4" s="1"/>
  <c r="V19" i="4" s="1"/>
  <c r="N19" i="4"/>
  <c r="U18" i="4"/>
  <c r="V18" i="4" s="1"/>
  <c r="T18" i="4"/>
  <c r="N18" i="4"/>
  <c r="K18" i="4"/>
  <c r="W18" i="4" s="1"/>
  <c r="W17" i="4"/>
  <c r="U17" i="4"/>
  <c r="V17" i="4" s="1"/>
  <c r="T17" i="4"/>
  <c r="N17" i="4"/>
  <c r="K17" i="4"/>
  <c r="K16" i="4"/>
  <c r="J16" i="4"/>
  <c r="J20" i="4" s="1"/>
  <c r="U15" i="4"/>
  <c r="V15" i="4" s="1"/>
  <c r="T15" i="4"/>
  <c r="N15" i="4"/>
  <c r="K15" i="4"/>
  <c r="E15" i="4"/>
  <c r="E20" i="4" s="1"/>
  <c r="T14" i="4"/>
  <c r="U14" i="4" s="1"/>
  <c r="V14" i="4" s="1"/>
  <c r="N14" i="4"/>
  <c r="K14" i="4"/>
  <c r="W14" i="4" s="1"/>
  <c r="W13" i="4"/>
  <c r="U13" i="4"/>
  <c r="V13" i="4" s="1"/>
  <c r="T13" i="4"/>
  <c r="N13" i="4"/>
  <c r="K13" i="4"/>
  <c r="W12" i="4"/>
  <c r="T12" i="4"/>
  <c r="U12" i="4" s="1"/>
  <c r="V12" i="4" s="1"/>
  <c r="N12" i="4"/>
  <c r="K12" i="4"/>
  <c r="W11" i="4"/>
  <c r="V11" i="4"/>
  <c r="U11" i="4"/>
  <c r="T11" i="4"/>
  <c r="N11" i="4"/>
  <c r="K11" i="4"/>
  <c r="V10" i="4"/>
  <c r="U10" i="4"/>
  <c r="T10" i="4"/>
  <c r="N10" i="4"/>
  <c r="K10" i="4"/>
  <c r="W10" i="4" s="1"/>
  <c r="W9" i="4"/>
  <c r="U9" i="4"/>
  <c r="V9" i="4" s="1"/>
  <c r="T9" i="4"/>
  <c r="N9" i="4"/>
  <c r="K9" i="4"/>
  <c r="U8" i="4"/>
  <c r="T8" i="4"/>
  <c r="N8" i="4"/>
  <c r="V149" i="3"/>
  <c r="V148" i="3"/>
  <c r="V147" i="3"/>
  <c r="V146" i="3"/>
  <c r="V145" i="3"/>
  <c r="V144" i="3"/>
  <c r="V143" i="3"/>
  <c r="V142" i="3"/>
  <c r="V141" i="3"/>
  <c r="V140" i="3"/>
  <c r="V139" i="3"/>
  <c r="V138" i="3"/>
  <c r="V137" i="3"/>
  <c r="V136" i="3"/>
  <c r="V135" i="3"/>
  <c r="V134" i="3"/>
  <c r="V133" i="3"/>
  <c r="V132" i="3"/>
  <c r="V131" i="3"/>
  <c r="V130" i="3"/>
  <c r="V129" i="3"/>
  <c r="V128" i="3"/>
  <c r="V127" i="3"/>
  <c r="V126" i="3"/>
  <c r="V125" i="3"/>
  <c r="V124" i="3"/>
  <c r="V123" i="3"/>
  <c r="W121" i="3"/>
  <c r="U121" i="3"/>
  <c r="V121" i="3" s="1"/>
  <c r="T121" i="3"/>
  <c r="P121" i="3"/>
  <c r="N121" i="3"/>
  <c r="A121" i="3"/>
  <c r="A122" i="3" s="1"/>
  <c r="A6" i="4" s="1"/>
  <c r="A8" i="4" s="1"/>
  <c r="A9" i="4" s="1"/>
  <c r="A10" i="4" s="1"/>
  <c r="A11" i="4" s="1"/>
  <c r="A12" i="4" s="1"/>
  <c r="A13" i="4" s="1"/>
  <c r="A14" i="4" s="1"/>
  <c r="R120" i="3"/>
  <c r="L120" i="3"/>
  <c r="I120" i="3"/>
  <c r="G120" i="3"/>
  <c r="E120" i="3"/>
  <c r="U119" i="3"/>
  <c r="V119" i="3" s="1"/>
  <c r="T119" i="3"/>
  <c r="P119" i="3"/>
  <c r="N119" i="3"/>
  <c r="K119" i="3"/>
  <c r="W119" i="3" s="1"/>
  <c r="S118" i="3"/>
  <c r="Q118" i="3"/>
  <c r="M118" i="3"/>
  <c r="M120" i="3" s="1"/>
  <c r="J118" i="3"/>
  <c r="K118" i="3" s="1"/>
  <c r="W118" i="3" s="1"/>
  <c r="C118" i="3"/>
  <c r="A118" i="3"/>
  <c r="A119" i="3" s="1"/>
  <c r="A120" i="3" s="1"/>
  <c r="U117" i="3"/>
  <c r="V117" i="3" s="1"/>
  <c r="T117" i="3"/>
  <c r="P117" i="3"/>
  <c r="N117" i="3"/>
  <c r="K117" i="3"/>
  <c r="W117" i="3" s="1"/>
  <c r="T116" i="3"/>
  <c r="U116" i="3" s="1"/>
  <c r="V116" i="3" s="1"/>
  <c r="N116" i="3"/>
  <c r="P116" i="3" s="1"/>
  <c r="J116" i="3"/>
  <c r="C116" i="3"/>
  <c r="C120" i="3" s="1"/>
  <c r="A116" i="3"/>
  <c r="W115" i="3"/>
  <c r="T115" i="3"/>
  <c r="U115" i="3" s="1"/>
  <c r="V115" i="3" s="1"/>
  <c r="N115" i="3"/>
  <c r="P115" i="3" s="1"/>
  <c r="W114" i="3"/>
  <c r="T114" i="3"/>
  <c r="U114" i="3" s="1"/>
  <c r="V114" i="3" s="1"/>
  <c r="N114" i="3"/>
  <c r="P114" i="3" s="1"/>
  <c r="V113" i="3"/>
  <c r="U113" i="3"/>
  <c r="T113" i="3"/>
  <c r="S113" i="3"/>
  <c r="Q113" i="3"/>
  <c r="N113" i="3"/>
  <c r="P113" i="3" s="1"/>
  <c r="M113" i="3"/>
  <c r="U112" i="3"/>
  <c r="V112" i="3" s="1"/>
  <c r="T112" i="3"/>
  <c r="N112" i="3"/>
  <c r="P112" i="3" s="1"/>
  <c r="T111" i="3"/>
  <c r="U111" i="3" s="1"/>
  <c r="V111" i="3" s="1"/>
  <c r="P111" i="3"/>
  <c r="N111" i="3"/>
  <c r="J111" i="3"/>
  <c r="K111" i="3" s="1"/>
  <c r="W111" i="3" s="1"/>
  <c r="S110" i="3"/>
  <c r="T110" i="3" s="1"/>
  <c r="Q110" i="3"/>
  <c r="N110" i="3"/>
  <c r="P110" i="3" s="1"/>
  <c r="M110" i="3"/>
  <c r="T109" i="3"/>
  <c r="U109" i="3" s="1"/>
  <c r="P109" i="3"/>
  <c r="N109" i="3"/>
  <c r="T108" i="3"/>
  <c r="U108" i="3" s="1"/>
  <c r="N108" i="3"/>
  <c r="P108" i="3" s="1"/>
  <c r="K108" i="3"/>
  <c r="W108" i="3" s="1"/>
  <c r="F108" i="3"/>
  <c r="W107" i="3"/>
  <c r="U107" i="3"/>
  <c r="T107" i="3"/>
  <c r="N107" i="3"/>
  <c r="P107" i="3" s="1"/>
  <c r="W106" i="3"/>
  <c r="U106" i="3"/>
  <c r="V106" i="3" s="1"/>
  <c r="T106" i="3"/>
  <c r="P106" i="3"/>
  <c r="N106" i="3"/>
  <c r="E105" i="3"/>
  <c r="D105" i="3"/>
  <c r="S104" i="3"/>
  <c r="S105" i="3" s="1"/>
  <c r="Q104" i="3"/>
  <c r="Q105" i="3" s="1"/>
  <c r="N104" i="3"/>
  <c r="P104" i="3" s="1"/>
  <c r="M104" i="3"/>
  <c r="J104" i="3"/>
  <c r="K104" i="3" s="1"/>
  <c r="C104" i="3"/>
  <c r="T103" i="3"/>
  <c r="U103" i="3" s="1"/>
  <c r="V103" i="3" s="1"/>
  <c r="N103" i="3"/>
  <c r="P103" i="3" s="1"/>
  <c r="A103" i="3"/>
  <c r="A104" i="3" s="1"/>
  <c r="A105" i="3" s="1"/>
  <c r="A106" i="3" s="1"/>
  <c r="A108" i="3" s="1"/>
  <c r="A111" i="3" s="1"/>
  <c r="A114" i="3" s="1"/>
  <c r="W102" i="3"/>
  <c r="U102" i="3"/>
  <c r="V102" i="3" s="1"/>
  <c r="T102" i="3"/>
  <c r="P102" i="3"/>
  <c r="N102" i="3"/>
  <c r="A102" i="3"/>
  <c r="S101" i="3"/>
  <c r="R101" i="3"/>
  <c r="T101" i="3" s="1"/>
  <c r="Q101" i="3"/>
  <c r="U101" i="3" s="1"/>
  <c r="M101" i="3"/>
  <c r="M105" i="3" s="1"/>
  <c r="L101" i="3"/>
  <c r="J101" i="3"/>
  <c r="I101" i="3"/>
  <c r="I105" i="3" s="1"/>
  <c r="G101" i="3"/>
  <c r="F101" i="3"/>
  <c r="C101" i="3"/>
  <c r="T100" i="3"/>
  <c r="U100" i="3" s="1"/>
  <c r="N100" i="3"/>
  <c r="P100" i="3" s="1"/>
  <c r="U99" i="3"/>
  <c r="T99" i="3"/>
  <c r="N99" i="3"/>
  <c r="P99" i="3" s="1"/>
  <c r="V99" i="3" s="1"/>
  <c r="K99" i="3"/>
  <c r="T98" i="3"/>
  <c r="U98" i="3" s="1"/>
  <c r="V98" i="3" s="1"/>
  <c r="P98" i="3"/>
  <c r="N98" i="3"/>
  <c r="K98" i="3"/>
  <c r="U97" i="3"/>
  <c r="T97" i="3"/>
  <c r="N97" i="3"/>
  <c r="P97" i="3" s="1"/>
  <c r="K97" i="3"/>
  <c r="T96" i="3"/>
  <c r="U96" i="3" s="1"/>
  <c r="N96" i="3"/>
  <c r="P96" i="3" s="1"/>
  <c r="K96" i="3"/>
  <c r="T95" i="3"/>
  <c r="U95" i="3" s="1"/>
  <c r="N95" i="3"/>
  <c r="P95" i="3" s="1"/>
  <c r="K95" i="3"/>
  <c r="W95" i="3" s="1"/>
  <c r="T94" i="3"/>
  <c r="U94" i="3" s="1"/>
  <c r="V94" i="3" s="1"/>
  <c r="N94" i="3"/>
  <c r="P94" i="3" s="1"/>
  <c r="K94" i="3"/>
  <c r="W94" i="3" s="1"/>
  <c r="T93" i="3"/>
  <c r="U93" i="3" s="1"/>
  <c r="V93" i="3" s="1"/>
  <c r="N93" i="3"/>
  <c r="P93" i="3" s="1"/>
  <c r="K93" i="3"/>
  <c r="W93" i="3" s="1"/>
  <c r="T92" i="3"/>
  <c r="U92" i="3" s="1"/>
  <c r="V92" i="3" s="1"/>
  <c r="N92" i="3"/>
  <c r="P92" i="3" s="1"/>
  <c r="K92" i="3"/>
  <c r="W92" i="3" s="1"/>
  <c r="T91" i="3"/>
  <c r="U91" i="3" s="1"/>
  <c r="V91" i="3" s="1"/>
  <c r="N91" i="3"/>
  <c r="P91" i="3" s="1"/>
  <c r="K91" i="3"/>
  <c r="W91" i="3" s="1"/>
  <c r="T90" i="3"/>
  <c r="U90" i="3" s="1"/>
  <c r="V90" i="3" s="1"/>
  <c r="N90" i="3"/>
  <c r="P90" i="3" s="1"/>
  <c r="K90" i="3"/>
  <c r="W90" i="3" s="1"/>
  <c r="T89" i="3"/>
  <c r="U89" i="3" s="1"/>
  <c r="N89" i="3"/>
  <c r="P89" i="3" s="1"/>
  <c r="K89" i="3"/>
  <c r="W88" i="3"/>
  <c r="T88" i="3"/>
  <c r="U88" i="3" s="1"/>
  <c r="V88" i="3" s="1"/>
  <c r="N88" i="3"/>
  <c r="P88" i="3" s="1"/>
  <c r="W87" i="3"/>
  <c r="U87" i="3"/>
  <c r="V87" i="3" s="1"/>
  <c r="T87" i="3"/>
  <c r="P87" i="3"/>
  <c r="N87" i="3"/>
  <c r="A87" i="3"/>
  <c r="A88" i="3" s="1"/>
  <c r="A89" i="3" s="1"/>
  <c r="A90" i="3" s="1"/>
  <c r="A91" i="3" s="1"/>
  <c r="A92" i="3" s="1"/>
  <c r="A93" i="3" s="1"/>
  <c r="A94" i="3" s="1"/>
  <c r="A95" i="3" s="1"/>
  <c r="A96" i="3" s="1"/>
  <c r="A97" i="3" s="1"/>
  <c r="A98" i="3" s="1"/>
  <c r="S86" i="3"/>
  <c r="R86" i="3"/>
  <c r="T86" i="3" s="1"/>
  <c r="Q86" i="3"/>
  <c r="M86" i="3"/>
  <c r="L86" i="3"/>
  <c r="J86" i="3"/>
  <c r="I86" i="3"/>
  <c r="G86" i="3"/>
  <c r="F86" i="3"/>
  <c r="C86" i="3"/>
  <c r="U85" i="3"/>
  <c r="V85" i="3" s="1"/>
  <c r="T85" i="3"/>
  <c r="P85" i="3"/>
  <c r="N85" i="3"/>
  <c r="K85" i="3"/>
  <c r="W85" i="3" s="1"/>
  <c r="W84" i="3"/>
  <c r="T84" i="3"/>
  <c r="U84" i="3" s="1"/>
  <c r="N84" i="3"/>
  <c r="P84" i="3" s="1"/>
  <c r="K84" i="3"/>
  <c r="W83" i="3"/>
  <c r="V83" i="3"/>
  <c r="U83" i="3"/>
  <c r="T83" i="3"/>
  <c r="P83" i="3"/>
  <c r="N83" i="3"/>
  <c r="K83" i="3"/>
  <c r="V82" i="3"/>
  <c r="U82" i="3"/>
  <c r="T82" i="3"/>
  <c r="N82" i="3"/>
  <c r="P82" i="3" s="1"/>
  <c r="K82" i="3"/>
  <c r="A82" i="3"/>
  <c r="A83" i="3" s="1"/>
  <c r="T81" i="3"/>
  <c r="U81" i="3" s="1"/>
  <c r="V81" i="3" s="1"/>
  <c r="P81" i="3"/>
  <c r="N81" i="3"/>
  <c r="K81" i="3"/>
  <c r="A81" i="3"/>
  <c r="T80" i="3"/>
  <c r="U80" i="3" s="1"/>
  <c r="P80" i="3"/>
  <c r="N80" i="3"/>
  <c r="K80" i="3"/>
  <c r="T79" i="3"/>
  <c r="U79" i="3" s="1"/>
  <c r="V79" i="3" s="1"/>
  <c r="N79" i="3"/>
  <c r="P79" i="3" s="1"/>
  <c r="V78" i="3"/>
  <c r="U78" i="3"/>
  <c r="T78" i="3"/>
  <c r="P78" i="3"/>
  <c r="N78" i="3"/>
  <c r="K78" i="3"/>
  <c r="U77" i="3"/>
  <c r="V77" i="3" s="1"/>
  <c r="T77" i="3"/>
  <c r="P77" i="3"/>
  <c r="N77" i="3"/>
  <c r="T76" i="3"/>
  <c r="U76" i="3" s="1"/>
  <c r="N76" i="3"/>
  <c r="P76" i="3" s="1"/>
  <c r="K76" i="3"/>
  <c r="T75" i="3"/>
  <c r="U75" i="3" s="1"/>
  <c r="V75" i="3" s="1"/>
  <c r="N75" i="3"/>
  <c r="P75" i="3" s="1"/>
  <c r="U74" i="3"/>
  <c r="V74" i="3" s="1"/>
  <c r="T74" i="3"/>
  <c r="P74" i="3"/>
  <c r="N74" i="3"/>
  <c r="T73" i="3"/>
  <c r="U73" i="3" s="1"/>
  <c r="V73" i="3" s="1"/>
  <c r="N73" i="3"/>
  <c r="P73" i="3" s="1"/>
  <c r="V72" i="3"/>
  <c r="U72" i="3"/>
  <c r="T72" i="3"/>
  <c r="P72" i="3"/>
  <c r="N72" i="3"/>
  <c r="T71" i="3"/>
  <c r="U71" i="3" s="1"/>
  <c r="P71" i="3"/>
  <c r="N71" i="3"/>
  <c r="K71" i="3"/>
  <c r="T70" i="3"/>
  <c r="U70" i="3" s="1"/>
  <c r="V70" i="3" s="1"/>
  <c r="N70" i="3"/>
  <c r="P70" i="3" s="1"/>
  <c r="K70" i="3"/>
  <c r="W69" i="3"/>
  <c r="T69" i="3"/>
  <c r="U69" i="3" s="1"/>
  <c r="N69" i="3"/>
  <c r="P69" i="3" s="1"/>
  <c r="W68" i="3"/>
  <c r="U68" i="3"/>
  <c r="V68" i="3" s="1"/>
  <c r="T68" i="3"/>
  <c r="P68" i="3"/>
  <c r="N68" i="3"/>
  <c r="W67" i="3"/>
  <c r="S67" i="3"/>
  <c r="R67" i="3"/>
  <c r="T67" i="3" s="1"/>
  <c r="Q67" i="3"/>
  <c r="M67" i="3"/>
  <c r="L67" i="3"/>
  <c r="J67" i="3"/>
  <c r="I67" i="3"/>
  <c r="G67" i="3"/>
  <c r="F67" i="3"/>
  <c r="C67" i="3"/>
  <c r="U66" i="3"/>
  <c r="V66" i="3" s="1"/>
  <c r="T66" i="3"/>
  <c r="P66" i="3"/>
  <c r="N66" i="3"/>
  <c r="K66" i="3"/>
  <c r="V65" i="3"/>
  <c r="U65" i="3"/>
  <c r="T65" i="3"/>
  <c r="P65" i="3"/>
  <c r="N65" i="3"/>
  <c r="K65" i="3"/>
  <c r="V64" i="3"/>
  <c r="U64" i="3"/>
  <c r="T64" i="3"/>
  <c r="N64" i="3"/>
  <c r="P64" i="3" s="1"/>
  <c r="K64" i="3"/>
  <c r="U63" i="3"/>
  <c r="V63" i="3" s="1"/>
  <c r="T63" i="3"/>
  <c r="P63" i="3"/>
  <c r="N63" i="3"/>
  <c r="K63" i="3"/>
  <c r="T62" i="3"/>
  <c r="U62" i="3" s="1"/>
  <c r="V62" i="3" s="1"/>
  <c r="P62" i="3"/>
  <c r="N62" i="3"/>
  <c r="K62" i="3"/>
  <c r="U61" i="3"/>
  <c r="T61" i="3"/>
  <c r="P61" i="3"/>
  <c r="N61" i="3"/>
  <c r="K61" i="3"/>
  <c r="K67" i="3" s="1"/>
  <c r="T60" i="3"/>
  <c r="U60" i="3" s="1"/>
  <c r="V60" i="3" s="1"/>
  <c r="N60" i="3"/>
  <c r="P60" i="3" s="1"/>
  <c r="A60" i="3"/>
  <c r="A61" i="3" s="1"/>
  <c r="A62" i="3" s="1"/>
  <c r="A63" i="3" s="1"/>
  <c r="A64" i="3" s="1"/>
  <c r="A65" i="3" s="1"/>
  <c r="A67" i="3" s="1"/>
  <c r="A68" i="3" s="1"/>
  <c r="A69" i="3" s="1"/>
  <c r="A70" i="3" s="1"/>
  <c r="T59" i="3"/>
  <c r="U59" i="3" s="1"/>
  <c r="N59" i="3"/>
  <c r="P59" i="3" s="1"/>
  <c r="A59" i="3"/>
  <c r="U58" i="3"/>
  <c r="V58" i="3" s="1"/>
  <c r="T58" i="3"/>
  <c r="N58" i="3"/>
  <c r="P58" i="3" s="1"/>
  <c r="A58" i="3"/>
  <c r="T57" i="3"/>
  <c r="U57" i="3" s="1"/>
  <c r="S57" i="3"/>
  <c r="R57" i="3"/>
  <c r="Q57" i="3"/>
  <c r="M57" i="3"/>
  <c r="L57" i="3"/>
  <c r="I57" i="3"/>
  <c r="G57" i="3"/>
  <c r="F57" i="3"/>
  <c r="C57" i="3"/>
  <c r="U56" i="3"/>
  <c r="V56" i="3" s="1"/>
  <c r="T56" i="3"/>
  <c r="P56" i="3"/>
  <c r="N56" i="3"/>
  <c r="K56" i="3"/>
  <c r="U55" i="3"/>
  <c r="T55" i="3"/>
  <c r="N55" i="3"/>
  <c r="P55" i="3" s="1"/>
  <c r="T54" i="3"/>
  <c r="U54" i="3" s="1"/>
  <c r="V54" i="3" s="1"/>
  <c r="N54" i="3"/>
  <c r="P54" i="3" s="1"/>
  <c r="K54" i="3"/>
  <c r="V53" i="3"/>
  <c r="U53" i="3"/>
  <c r="T53" i="3"/>
  <c r="P53" i="3"/>
  <c r="N53" i="3"/>
  <c r="K53" i="3"/>
  <c r="U52" i="3"/>
  <c r="T52" i="3"/>
  <c r="N52" i="3"/>
  <c r="P52" i="3" s="1"/>
  <c r="V52" i="3" s="1"/>
  <c r="K52" i="3"/>
  <c r="U51" i="3"/>
  <c r="V51" i="3" s="1"/>
  <c r="T51" i="3"/>
  <c r="P51" i="3"/>
  <c r="N51" i="3"/>
  <c r="K51" i="3"/>
  <c r="T50" i="3"/>
  <c r="U50" i="3" s="1"/>
  <c r="P50" i="3"/>
  <c r="N50" i="3"/>
  <c r="J50" i="3"/>
  <c r="J57" i="3" s="1"/>
  <c r="T49" i="3"/>
  <c r="U49" i="3" s="1"/>
  <c r="V49" i="3" s="1"/>
  <c r="P49" i="3"/>
  <c r="N49" i="3"/>
  <c r="K49" i="3"/>
  <c r="W48" i="3"/>
  <c r="T48" i="3"/>
  <c r="U48" i="3" s="1"/>
  <c r="V48" i="3" s="1"/>
  <c r="P48" i="3"/>
  <c r="N48" i="3"/>
  <c r="W47" i="3"/>
  <c r="U47" i="3"/>
  <c r="T47" i="3"/>
  <c r="N47" i="3"/>
  <c r="P47" i="3" s="1"/>
  <c r="U46" i="3"/>
  <c r="V46" i="3" s="1"/>
  <c r="T46" i="3"/>
  <c r="P46" i="3"/>
  <c r="N46" i="3"/>
  <c r="R45" i="3"/>
  <c r="L45" i="3"/>
  <c r="I45" i="3"/>
  <c r="H45" i="3"/>
  <c r="D45" i="3"/>
  <c r="C45" i="3"/>
  <c r="Q44" i="3"/>
  <c r="Q45" i="3" s="1"/>
  <c r="M44" i="3"/>
  <c r="M45" i="3" s="1"/>
  <c r="J44" i="3"/>
  <c r="U43" i="3"/>
  <c r="V43" i="3" s="1"/>
  <c r="T43" i="3"/>
  <c r="P43" i="3"/>
  <c r="N43" i="3"/>
  <c r="K43" i="3"/>
  <c r="W43" i="3" s="1"/>
  <c r="T42" i="3"/>
  <c r="U42" i="3" s="1"/>
  <c r="V42" i="3" s="1"/>
  <c r="N42" i="3"/>
  <c r="P42" i="3" s="1"/>
  <c r="K42" i="3"/>
  <c r="W42" i="3" s="1"/>
  <c r="T41" i="3"/>
  <c r="U41" i="3" s="1"/>
  <c r="V41" i="3" s="1"/>
  <c r="N41" i="3"/>
  <c r="P41" i="3" s="1"/>
  <c r="K41" i="3"/>
  <c r="W41" i="3" s="1"/>
  <c r="T40" i="3"/>
  <c r="U40" i="3" s="1"/>
  <c r="V40" i="3" s="1"/>
  <c r="N40" i="3"/>
  <c r="P40" i="3" s="1"/>
  <c r="K40" i="3"/>
  <c r="W40" i="3" s="1"/>
  <c r="T39" i="3"/>
  <c r="U39" i="3" s="1"/>
  <c r="N39" i="3"/>
  <c r="P39" i="3" s="1"/>
  <c r="K39" i="3"/>
  <c r="W39" i="3" s="1"/>
  <c r="T38" i="3"/>
  <c r="U38" i="3" s="1"/>
  <c r="N38" i="3"/>
  <c r="P38" i="3" s="1"/>
  <c r="K38" i="3"/>
  <c r="W38" i="3" s="1"/>
  <c r="T37" i="3"/>
  <c r="U37" i="3" s="1"/>
  <c r="N37" i="3"/>
  <c r="P37" i="3" s="1"/>
  <c r="K37" i="3"/>
  <c r="E37" i="3"/>
  <c r="W37" i="3" s="1"/>
  <c r="U36" i="3"/>
  <c r="V36" i="3" s="1"/>
  <c r="T36" i="3"/>
  <c r="P36" i="3"/>
  <c r="N36" i="3"/>
  <c r="K36" i="3"/>
  <c r="W36" i="3" s="1"/>
  <c r="T35" i="3"/>
  <c r="U35" i="3" s="1"/>
  <c r="V35" i="3" s="1"/>
  <c r="N35" i="3"/>
  <c r="P35" i="3" s="1"/>
  <c r="K35" i="3"/>
  <c r="T34" i="3"/>
  <c r="U34" i="3" s="1"/>
  <c r="V34" i="3" s="1"/>
  <c r="N34" i="3"/>
  <c r="P34" i="3" s="1"/>
  <c r="K34" i="3"/>
  <c r="W34" i="3" s="1"/>
  <c r="T33" i="3"/>
  <c r="U33" i="3" s="1"/>
  <c r="V33" i="3" s="1"/>
  <c r="N33" i="3"/>
  <c r="P33" i="3" s="1"/>
  <c r="K33" i="3"/>
  <c r="W33" i="3" s="1"/>
  <c r="T32" i="3"/>
  <c r="U32" i="3" s="1"/>
  <c r="N32" i="3"/>
  <c r="P32" i="3" s="1"/>
  <c r="K32" i="3"/>
  <c r="E32" i="3"/>
  <c r="U31" i="3"/>
  <c r="T31" i="3"/>
  <c r="N31" i="3"/>
  <c r="P31" i="3" s="1"/>
  <c r="K31" i="3"/>
  <c r="W31" i="3" s="1"/>
  <c r="T30" i="3"/>
  <c r="U30" i="3" s="1"/>
  <c r="N30" i="3"/>
  <c r="P30" i="3" s="1"/>
  <c r="K30" i="3"/>
  <c r="E30" i="3"/>
  <c r="E45" i="3" s="1"/>
  <c r="U29" i="3"/>
  <c r="T29" i="3"/>
  <c r="P29" i="3"/>
  <c r="N29" i="3"/>
  <c r="K29" i="3"/>
  <c r="W29" i="3" s="1"/>
  <c r="U28" i="3"/>
  <c r="V28" i="3" s="1"/>
  <c r="T28" i="3"/>
  <c r="N28" i="3"/>
  <c r="K28" i="3"/>
  <c r="W28" i="3" s="1"/>
  <c r="A28" i="3"/>
  <c r="A29" i="3" s="1"/>
  <c r="A30" i="3" s="1"/>
  <c r="A32" i="3" s="1"/>
  <c r="A33" i="3" s="1"/>
  <c r="A34" i="3" s="1"/>
  <c r="A35" i="3" s="1"/>
  <c r="A36" i="3" s="1"/>
  <c r="A37" i="3" s="1"/>
  <c r="A38" i="3" s="1"/>
  <c r="A39" i="3" s="1"/>
  <c r="A40" i="3" s="1"/>
  <c r="A41" i="3" s="1"/>
  <c r="A42" i="3" s="1"/>
  <c r="A44" i="3" s="1"/>
  <c r="A45" i="3" s="1"/>
  <c r="A46" i="3" s="1"/>
  <c r="A47" i="3" s="1"/>
  <c r="A48" i="3" s="1"/>
  <c r="A49" i="3" s="1"/>
  <c r="A50" i="3" s="1"/>
  <c r="A51" i="3" s="1"/>
  <c r="A52" i="3" s="1"/>
  <c r="A53" i="3" s="1"/>
  <c r="A54" i="3" s="1"/>
  <c r="T27" i="3"/>
  <c r="U27" i="3" s="1"/>
  <c r="V27" i="3" s="1"/>
  <c r="N27" i="3"/>
  <c r="K27" i="3"/>
  <c r="W26" i="3"/>
  <c r="T26" i="3"/>
  <c r="U26" i="3" s="1"/>
  <c r="N26" i="3"/>
  <c r="P26" i="3" s="1"/>
  <c r="K26" i="3"/>
  <c r="W25" i="3"/>
  <c r="V25" i="3"/>
  <c r="U25" i="3"/>
  <c r="T25" i="3"/>
  <c r="P25" i="3"/>
  <c r="N25" i="3"/>
  <c r="U24" i="3"/>
  <c r="T24" i="3"/>
  <c r="S24" i="3"/>
  <c r="R24" i="3"/>
  <c r="Q24" i="3"/>
  <c r="M24" i="3"/>
  <c r="L24" i="3"/>
  <c r="J24" i="3"/>
  <c r="I24" i="3"/>
  <c r="H24" i="3"/>
  <c r="G24" i="3"/>
  <c r="F24" i="3"/>
  <c r="E24" i="3"/>
  <c r="D24" i="3"/>
  <c r="C24" i="3"/>
  <c r="T23" i="3"/>
  <c r="U23" i="3" s="1"/>
  <c r="V23" i="3" s="1"/>
  <c r="N23" i="3"/>
  <c r="P23" i="3" s="1"/>
  <c r="K23" i="3"/>
  <c r="A23" i="3"/>
  <c r="A24" i="3" s="1"/>
  <c r="A25" i="3" s="1"/>
  <c r="T22" i="3"/>
  <c r="U22" i="3" s="1"/>
  <c r="V22" i="3" s="1"/>
  <c r="N22" i="3"/>
  <c r="P22" i="3" s="1"/>
  <c r="K22" i="3"/>
  <c r="W22" i="3" s="1"/>
  <c r="T21" i="3"/>
  <c r="U21" i="3" s="1"/>
  <c r="N21" i="3"/>
  <c r="P21" i="3" s="1"/>
  <c r="K21" i="3"/>
  <c r="U20" i="3"/>
  <c r="V20" i="3" s="1"/>
  <c r="T20" i="3"/>
  <c r="N20" i="3"/>
  <c r="P20" i="3" s="1"/>
  <c r="K20" i="3"/>
  <c r="U19" i="3"/>
  <c r="V19" i="3" s="1"/>
  <c r="T19" i="3"/>
  <c r="N19" i="3"/>
  <c r="P19" i="3" s="1"/>
  <c r="K19" i="3"/>
  <c r="E19" i="3"/>
  <c r="W19" i="3" s="1"/>
  <c r="U18" i="3"/>
  <c r="V18" i="3" s="1"/>
  <c r="T18" i="3"/>
  <c r="N18" i="3"/>
  <c r="P18" i="3" s="1"/>
  <c r="K18" i="3"/>
  <c r="T17" i="3"/>
  <c r="U17" i="3" s="1"/>
  <c r="V17" i="3" s="1"/>
  <c r="P17" i="3"/>
  <c r="N17" i="3"/>
  <c r="K17" i="3"/>
  <c r="T16" i="3"/>
  <c r="U16" i="3" s="1"/>
  <c r="P16" i="3"/>
  <c r="N16" i="3"/>
  <c r="K16" i="3"/>
  <c r="T15" i="3"/>
  <c r="U15" i="3" s="1"/>
  <c r="V15" i="3" s="1"/>
  <c r="P15" i="3"/>
  <c r="N15" i="3"/>
  <c r="K15" i="3"/>
  <c r="W15" i="3" s="1"/>
  <c r="A15" i="3"/>
  <c r="A16" i="3" s="1"/>
  <c r="A17" i="3" s="1"/>
  <c r="A18" i="3" s="1"/>
  <c r="A19" i="3" s="1"/>
  <c r="A20" i="3" s="1"/>
  <c r="U14" i="3"/>
  <c r="T14" i="3"/>
  <c r="N14" i="3"/>
  <c r="P14" i="3" s="1"/>
  <c r="K14" i="3"/>
  <c r="T13" i="3"/>
  <c r="U13" i="3" s="1"/>
  <c r="N13" i="3"/>
  <c r="P13" i="3" s="1"/>
  <c r="K13" i="3"/>
  <c r="E13" i="3"/>
  <c r="W13" i="3" s="1"/>
  <c r="T12" i="3"/>
  <c r="U12" i="3" s="1"/>
  <c r="N12" i="3"/>
  <c r="P12" i="3" s="1"/>
  <c r="K12" i="3"/>
  <c r="W12" i="3" s="1"/>
  <c r="U11" i="3"/>
  <c r="V11" i="3" s="1"/>
  <c r="T11" i="3"/>
  <c r="P11" i="3"/>
  <c r="N11" i="3"/>
  <c r="K11" i="3"/>
  <c r="U10" i="3"/>
  <c r="V10" i="3" s="1"/>
  <c r="T10" i="3"/>
  <c r="P10" i="3"/>
  <c r="N10" i="3"/>
  <c r="K10" i="3"/>
  <c r="W9" i="3"/>
  <c r="U9" i="3"/>
  <c r="V9" i="3" s="1"/>
  <c r="T9" i="3"/>
  <c r="P9" i="3"/>
  <c r="N9" i="3"/>
  <c r="V8" i="3"/>
  <c r="U8" i="3"/>
  <c r="T8" i="3"/>
  <c r="P8" i="3"/>
  <c r="N8" i="3"/>
  <c r="A6" i="3"/>
  <c r="A7" i="3" s="1"/>
  <c r="A8" i="3" s="1"/>
  <c r="A9" i="3" s="1"/>
  <c r="A10" i="3" s="1"/>
  <c r="A11" i="3" s="1"/>
  <c r="A12" i="3" s="1"/>
  <c r="K59" i="2"/>
  <c r="J59" i="2"/>
  <c r="J43" i="2"/>
  <c r="F38" i="2"/>
  <c r="E32" i="2"/>
  <c r="Q31" i="2"/>
  <c r="K31" i="2"/>
  <c r="A31" i="2"/>
  <c r="W30" i="2"/>
  <c r="T30" i="2"/>
  <c r="U30" i="2" s="1"/>
  <c r="V30" i="2" s="1"/>
  <c r="N30" i="2"/>
  <c r="A30" i="2"/>
  <c r="U29" i="2"/>
  <c r="T29" i="2"/>
  <c r="S29" i="2"/>
  <c r="R29" i="2"/>
  <c r="Q29" i="2"/>
  <c r="M29" i="2"/>
  <c r="L29" i="2"/>
  <c r="J29" i="2"/>
  <c r="I29" i="2"/>
  <c r="G29" i="2"/>
  <c r="F29" i="2"/>
  <c r="E29" i="2"/>
  <c r="D29" i="2"/>
  <c r="C29" i="2"/>
  <c r="W28" i="2"/>
  <c r="T28" i="2"/>
  <c r="U28" i="2" s="1"/>
  <c r="V28" i="2" s="1"/>
  <c r="P28" i="2"/>
  <c r="N28" i="2"/>
  <c r="W27" i="2"/>
  <c r="U27" i="2"/>
  <c r="T27" i="2"/>
  <c r="N27" i="2"/>
  <c r="P27" i="2" s="1"/>
  <c r="V27" i="2" s="1"/>
  <c r="K27" i="2"/>
  <c r="W26" i="2"/>
  <c r="U26" i="2"/>
  <c r="T26" i="2"/>
  <c r="N26" i="2"/>
  <c r="P26" i="2" s="1"/>
  <c r="V26" i="2" s="1"/>
  <c r="K26" i="2"/>
  <c r="W25" i="2"/>
  <c r="V25" i="2"/>
  <c r="U25" i="2"/>
  <c r="T25" i="2"/>
  <c r="N25" i="2"/>
  <c r="P25" i="2" s="1"/>
  <c r="K25" i="2"/>
  <c r="W24" i="2"/>
  <c r="U24" i="2"/>
  <c r="T24" i="2"/>
  <c r="N24" i="2"/>
  <c r="P24" i="2" s="1"/>
  <c r="V24" i="2" s="1"/>
  <c r="K24" i="2"/>
  <c r="W23" i="2"/>
  <c r="U23" i="2"/>
  <c r="T23" i="2"/>
  <c r="N23" i="2"/>
  <c r="P23" i="2" s="1"/>
  <c r="V23" i="2" s="1"/>
  <c r="K23" i="2"/>
  <c r="U22" i="2"/>
  <c r="V22" i="2" s="1"/>
  <c r="T22" i="2"/>
  <c r="N22" i="2"/>
  <c r="P22" i="2" s="1"/>
  <c r="K22" i="2"/>
  <c r="W22" i="2" s="1"/>
  <c r="U21" i="2"/>
  <c r="V21" i="2" s="1"/>
  <c r="T21" i="2"/>
  <c r="N21" i="2"/>
  <c r="P21" i="2" s="1"/>
  <c r="K21" i="2"/>
  <c r="W21" i="2" s="1"/>
  <c r="U20" i="2"/>
  <c r="T20" i="2"/>
  <c r="N20" i="2"/>
  <c r="P20" i="2" s="1"/>
  <c r="V20" i="2" s="1"/>
  <c r="K20" i="2"/>
  <c r="W20" i="2" s="1"/>
  <c r="U19" i="2"/>
  <c r="V19" i="2" s="1"/>
  <c r="T19" i="2"/>
  <c r="N19" i="2"/>
  <c r="P19" i="2" s="1"/>
  <c r="K19" i="2"/>
  <c r="W19" i="2" s="1"/>
  <c r="A19" i="2"/>
  <c r="A20" i="2" s="1"/>
  <c r="A21" i="2" s="1"/>
  <c r="A22" i="2" s="1"/>
  <c r="A24" i="2" s="1"/>
  <c r="A25" i="2" s="1"/>
  <c r="A26" i="2" s="1"/>
  <c r="A27" i="2" s="1"/>
  <c r="U18" i="2"/>
  <c r="V18" i="2" s="1"/>
  <c r="T18" i="2"/>
  <c r="N18" i="2"/>
  <c r="P18" i="2" s="1"/>
  <c r="K18" i="2"/>
  <c r="W18" i="2" s="1"/>
  <c r="U17" i="2"/>
  <c r="V17" i="2" s="1"/>
  <c r="T17" i="2"/>
  <c r="P17" i="2"/>
  <c r="N17" i="2"/>
  <c r="K17" i="2"/>
  <c r="W17" i="2" s="1"/>
  <c r="W16" i="2"/>
  <c r="T16" i="2"/>
  <c r="U16" i="2" s="1"/>
  <c r="P16" i="2"/>
  <c r="N16" i="2"/>
  <c r="U15" i="2"/>
  <c r="T15" i="2"/>
  <c r="N15" i="2"/>
  <c r="P15" i="2" s="1"/>
  <c r="K15" i="2"/>
  <c r="W15" i="2" s="1"/>
  <c r="U14" i="2"/>
  <c r="T14" i="2"/>
  <c r="N14" i="2"/>
  <c r="K14" i="2"/>
  <c r="G14" i="2"/>
  <c r="W13" i="2"/>
  <c r="V13" i="2"/>
  <c r="U13" i="2"/>
  <c r="T13" i="2"/>
  <c r="W12" i="2"/>
  <c r="T12" i="2"/>
  <c r="U12" i="2" s="1"/>
  <c r="V12" i="2" s="1"/>
  <c r="W11" i="2"/>
  <c r="U11" i="2"/>
  <c r="V11" i="2" s="1"/>
  <c r="T11" i="2"/>
  <c r="R10" i="2"/>
  <c r="Q10" i="2"/>
  <c r="M10" i="2"/>
  <c r="L10" i="2"/>
  <c r="L32" i="2" s="1"/>
  <c r="L50" i="1" s="1"/>
  <c r="I10" i="2"/>
  <c r="I32" i="2" s="1"/>
  <c r="I50" i="1" s="1"/>
  <c r="H10" i="2"/>
  <c r="H32" i="2" s="1"/>
  <c r="F10" i="2"/>
  <c r="E10" i="2"/>
  <c r="D10" i="2"/>
  <c r="C10" i="2"/>
  <c r="C32" i="2" s="1"/>
  <c r="S9" i="2"/>
  <c r="T9" i="2" s="1"/>
  <c r="Q9" i="2"/>
  <c r="P9" i="2"/>
  <c r="N9" i="2"/>
  <c r="K9" i="2"/>
  <c r="W9" i="2" s="1"/>
  <c r="J9" i="2"/>
  <c r="G9" i="2"/>
  <c r="G10" i="2" s="1"/>
  <c r="A9" i="2"/>
  <c r="A10" i="2" s="1"/>
  <c r="A11" i="2" s="1"/>
  <c r="A12" i="2" s="1"/>
  <c r="A13" i="2" s="1"/>
  <c r="A14" i="2" s="1"/>
  <c r="A15" i="2" s="1"/>
  <c r="S8" i="2"/>
  <c r="Q8" i="2"/>
  <c r="P8" i="2"/>
  <c r="N8" i="2"/>
  <c r="N10" i="2" s="1"/>
  <c r="P10" i="2" s="1"/>
  <c r="J8" i="2"/>
  <c r="K8" i="2" s="1"/>
  <c r="G8" i="2"/>
  <c r="A8" i="2"/>
  <c r="AB67" i="1"/>
  <c r="AA64" i="1"/>
  <c r="AA62" i="1"/>
  <c r="T61" i="1"/>
  <c r="U61" i="1" s="1"/>
  <c r="V61" i="1" s="1"/>
  <c r="K61" i="1"/>
  <c r="U60" i="1"/>
  <c r="V60" i="1" s="1"/>
  <c r="K60" i="1"/>
  <c r="C60" i="1"/>
  <c r="D59" i="1"/>
  <c r="R58" i="1"/>
  <c r="I58" i="1"/>
  <c r="G58" i="1"/>
  <c r="F58" i="1"/>
  <c r="E58" i="1"/>
  <c r="D58" i="1"/>
  <c r="C58" i="1"/>
  <c r="Z57" i="1"/>
  <c r="Z62" i="1" s="1"/>
  <c r="Z64" i="1" s="1"/>
  <c r="R57" i="1"/>
  <c r="L57" i="1"/>
  <c r="I57" i="1"/>
  <c r="G57" i="1"/>
  <c r="F57" i="1"/>
  <c r="E57" i="1"/>
  <c r="D57" i="1"/>
  <c r="R56" i="1"/>
  <c r="G56" i="1"/>
  <c r="F56" i="1"/>
  <c r="D56" i="1"/>
  <c r="I55" i="1"/>
  <c r="E53" i="1"/>
  <c r="D53" i="1"/>
  <c r="L52" i="1"/>
  <c r="J52" i="1"/>
  <c r="I52" i="1"/>
  <c r="E52" i="1"/>
  <c r="D52" i="1"/>
  <c r="C52" i="1"/>
  <c r="D51" i="1"/>
  <c r="C50" i="1"/>
  <c r="H44" i="1"/>
  <c r="G44" i="1"/>
  <c r="D44" i="1"/>
  <c r="W43" i="1"/>
  <c r="U43" i="1"/>
  <c r="V43" i="1" s="1"/>
  <c r="T43" i="1"/>
  <c r="N43" i="1"/>
  <c r="K43" i="1"/>
  <c r="A43" i="1"/>
  <c r="A44" i="1" s="1"/>
  <c r="W42" i="1"/>
  <c r="T42" i="1"/>
  <c r="U42" i="1" s="1"/>
  <c r="V42" i="1" s="1"/>
  <c r="N42" i="1"/>
  <c r="K42" i="1"/>
  <c r="A42" i="1"/>
  <c r="W41" i="1"/>
  <c r="T41" i="1"/>
  <c r="U41" i="1" s="1"/>
  <c r="V41" i="1" s="1"/>
  <c r="N41" i="1"/>
  <c r="K41" i="1"/>
  <c r="T40" i="1"/>
  <c r="U40" i="1" s="1"/>
  <c r="V40" i="1" s="1"/>
  <c r="S40" i="1"/>
  <c r="N40" i="1"/>
  <c r="K40" i="1"/>
  <c r="E40" i="1"/>
  <c r="V39" i="1"/>
  <c r="N39" i="1"/>
  <c r="U38" i="1"/>
  <c r="V38" i="1" s="1"/>
  <c r="T38" i="1"/>
  <c r="S38" i="1"/>
  <c r="N38" i="1"/>
  <c r="K38" i="1"/>
  <c r="R37" i="1"/>
  <c r="R44" i="1" s="1"/>
  <c r="Q37" i="1"/>
  <c r="M37" i="1"/>
  <c r="G37" i="1"/>
  <c r="F37" i="1"/>
  <c r="F44" i="1" s="1"/>
  <c r="E37" i="1"/>
  <c r="E44" i="1" s="1"/>
  <c r="V36" i="1"/>
  <c r="U36" i="1"/>
  <c r="T36" i="1"/>
  <c r="P36" i="1"/>
  <c r="N36" i="1"/>
  <c r="K36" i="1"/>
  <c r="W36" i="1" s="1"/>
  <c r="U35" i="1"/>
  <c r="V35" i="1" s="1"/>
  <c r="S35" i="1"/>
  <c r="T35" i="1" s="1"/>
  <c r="P35" i="1"/>
  <c r="N35" i="1"/>
  <c r="K35" i="1"/>
  <c r="W35" i="1" s="1"/>
  <c r="T34" i="1"/>
  <c r="U34" i="1" s="1"/>
  <c r="V34" i="1" s="1"/>
  <c r="S34" i="1"/>
  <c r="P34" i="1"/>
  <c r="N34" i="1"/>
  <c r="K34" i="1"/>
  <c r="W34" i="1" s="1"/>
  <c r="C34" i="1"/>
  <c r="C37" i="1" s="1"/>
  <c r="C44" i="1" s="1"/>
  <c r="U33" i="1"/>
  <c r="V33" i="1" s="1"/>
  <c r="T33" i="1"/>
  <c r="P33" i="1"/>
  <c r="N33" i="1"/>
  <c r="K33" i="1"/>
  <c r="W33" i="1" s="1"/>
  <c r="U32" i="1"/>
  <c r="V32" i="1" s="1"/>
  <c r="T32" i="1"/>
  <c r="P32" i="1"/>
  <c r="N32" i="1"/>
  <c r="K32" i="1"/>
  <c r="W32" i="1" s="1"/>
  <c r="S31" i="1"/>
  <c r="T31" i="1" s="1"/>
  <c r="U31" i="1" s="1"/>
  <c r="V31" i="1" s="1"/>
  <c r="P31" i="1"/>
  <c r="N31" i="1"/>
  <c r="K31" i="1"/>
  <c r="W31" i="1" s="1"/>
  <c r="T30" i="1"/>
  <c r="U30" i="1" s="1"/>
  <c r="V30" i="1" s="1"/>
  <c r="S30" i="1"/>
  <c r="P30" i="1"/>
  <c r="N30" i="1"/>
  <c r="K30" i="1"/>
  <c r="W30" i="1" s="1"/>
  <c r="W29" i="1"/>
  <c r="U29" i="1"/>
  <c r="V29" i="1" s="1"/>
  <c r="T29" i="1"/>
  <c r="P29" i="1"/>
  <c r="N29" i="1"/>
  <c r="K29" i="1"/>
  <c r="W28" i="1"/>
  <c r="S28" i="1"/>
  <c r="T28" i="1" s="1"/>
  <c r="U28" i="1" s="1"/>
  <c r="V28" i="1" s="1"/>
  <c r="P28" i="1"/>
  <c r="N28" i="1"/>
  <c r="K28" i="1"/>
  <c r="A28" i="1"/>
  <c r="A29" i="1" s="1"/>
  <c r="A30" i="1" s="1"/>
  <c r="A31" i="1" s="1"/>
  <c r="A32" i="1" s="1"/>
  <c r="A33" i="1" s="1"/>
  <c r="A34" i="1" s="1"/>
  <c r="A35" i="1" s="1"/>
  <c r="A36" i="1" s="1"/>
  <c r="A37" i="1" s="1"/>
  <c r="A38" i="1" s="1"/>
  <c r="S27" i="1"/>
  <c r="S37" i="1" s="1"/>
  <c r="P27" i="1"/>
  <c r="L27" i="1"/>
  <c r="N27" i="1" s="1"/>
  <c r="N37" i="1" s="1"/>
  <c r="K27" i="1"/>
  <c r="W27" i="1" s="1"/>
  <c r="A27" i="1"/>
  <c r="S26" i="1"/>
  <c r="T26" i="1" s="1"/>
  <c r="U26" i="1" s="1"/>
  <c r="V26" i="1" s="1"/>
  <c r="P26" i="1"/>
  <c r="N26" i="1"/>
  <c r="K26" i="1"/>
  <c r="W26" i="1" s="1"/>
  <c r="A26" i="1"/>
  <c r="S25" i="1"/>
  <c r="T25" i="1" s="1"/>
  <c r="Q25" i="1"/>
  <c r="M25" i="1"/>
  <c r="N25" i="1" s="1"/>
  <c r="K25" i="1"/>
  <c r="W25" i="1" s="1"/>
  <c r="S24" i="1"/>
  <c r="T24" i="1" s="1"/>
  <c r="U24" i="1" s="1"/>
  <c r="V24" i="1" s="1"/>
  <c r="P24" i="1"/>
  <c r="N24" i="1"/>
  <c r="K24" i="1"/>
  <c r="W24" i="1" s="1"/>
  <c r="S23" i="1"/>
  <c r="T23" i="1" s="1"/>
  <c r="U23" i="1" s="1"/>
  <c r="V23" i="1" s="1"/>
  <c r="P23" i="1"/>
  <c r="N23" i="1"/>
  <c r="K23" i="1"/>
  <c r="W23" i="1" s="1"/>
  <c r="S22" i="1"/>
  <c r="T22" i="1" s="1"/>
  <c r="U22" i="1" s="1"/>
  <c r="V22" i="1" s="1"/>
  <c r="P22" i="1"/>
  <c r="N22" i="1"/>
  <c r="K22" i="1"/>
  <c r="W22" i="1" s="1"/>
  <c r="C22" i="1"/>
  <c r="U21" i="1"/>
  <c r="V21" i="1" s="1"/>
  <c r="P21" i="1"/>
  <c r="N21" i="1"/>
  <c r="T20" i="1"/>
  <c r="U20" i="1" s="1"/>
  <c r="V20" i="1" s="1"/>
  <c r="S20" i="1"/>
  <c r="P20" i="1"/>
  <c r="N20" i="1"/>
  <c r="S19" i="1"/>
  <c r="T19" i="1" s="1"/>
  <c r="U19" i="1" s="1"/>
  <c r="V19" i="1" s="1"/>
  <c r="P19" i="1"/>
  <c r="N19" i="1"/>
  <c r="K19" i="1"/>
  <c r="W19" i="1" s="1"/>
  <c r="S18" i="1"/>
  <c r="T18" i="1" s="1"/>
  <c r="U18" i="1" s="1"/>
  <c r="V18" i="1" s="1"/>
  <c r="P18" i="1"/>
  <c r="N18" i="1"/>
  <c r="K18" i="1"/>
  <c r="G18" i="1"/>
  <c r="W18" i="1" s="1"/>
  <c r="T17" i="1"/>
  <c r="U17" i="1" s="1"/>
  <c r="V17" i="1" s="1"/>
  <c r="P17" i="1"/>
  <c r="N17" i="1"/>
  <c r="K17" i="1"/>
  <c r="W17" i="1" s="1"/>
  <c r="T16" i="1"/>
  <c r="U16" i="1" s="1"/>
  <c r="V16" i="1" s="1"/>
  <c r="P16" i="1"/>
  <c r="N16" i="1"/>
  <c r="K16" i="1"/>
  <c r="W16" i="1" s="1"/>
  <c r="W15" i="1"/>
  <c r="T15" i="1"/>
  <c r="U15" i="1" s="1"/>
  <c r="V15" i="1" s="1"/>
  <c r="S15" i="1"/>
  <c r="P15" i="1"/>
  <c r="N15" i="1"/>
  <c r="T14" i="1"/>
  <c r="U14" i="1" s="1"/>
  <c r="V14" i="1" s="1"/>
  <c r="P14" i="1"/>
  <c r="M14" i="1"/>
  <c r="N14" i="1" s="1"/>
  <c r="K14" i="1"/>
  <c r="G14" i="1"/>
  <c r="T13" i="1"/>
  <c r="U13" i="1" s="1"/>
  <c r="V13" i="1" s="1"/>
  <c r="S13" i="1"/>
  <c r="P13" i="1"/>
  <c r="N13" i="1"/>
  <c r="K13" i="1"/>
  <c r="U12" i="1"/>
  <c r="V12" i="1" s="1"/>
  <c r="T12" i="1"/>
  <c r="P12" i="1"/>
  <c r="N12" i="1"/>
  <c r="K12" i="1"/>
  <c r="W12" i="1" s="1"/>
  <c r="T11" i="1"/>
  <c r="U11" i="1" s="1"/>
  <c r="V11" i="1" s="1"/>
  <c r="S11" i="1"/>
  <c r="P11" i="1"/>
  <c r="N11" i="1"/>
  <c r="K11" i="1"/>
  <c r="T10" i="1"/>
  <c r="U10" i="1" s="1"/>
  <c r="V10" i="1" s="1"/>
  <c r="P10" i="1"/>
  <c r="N10" i="1"/>
  <c r="K10" i="1"/>
  <c r="A10" i="1"/>
  <c r="A12" i="1" s="1"/>
  <c r="A13" i="1" s="1"/>
  <c r="A14" i="1" s="1"/>
  <c r="A15" i="1" s="1"/>
  <c r="A16" i="1" s="1"/>
  <c r="A17" i="1" s="1"/>
  <c r="K9" i="1"/>
  <c r="W9" i="1" s="1"/>
  <c r="C9" i="1"/>
  <c r="A9" i="1"/>
  <c r="P8" i="1"/>
  <c r="N8" i="1"/>
  <c r="A8" i="1"/>
  <c r="T25" i="8" l="1"/>
  <c r="S28" i="8"/>
  <c r="N77" i="7"/>
  <c r="M78" i="7"/>
  <c r="U16" i="4"/>
  <c r="V16" i="4" s="1"/>
  <c r="T81" i="9"/>
  <c r="U81" i="9" s="1"/>
  <c r="V81" i="9" s="1"/>
  <c r="S82" i="9"/>
  <c r="N93" i="7"/>
  <c r="P93" i="7" s="1"/>
  <c r="M94" i="7"/>
  <c r="U25" i="8"/>
  <c r="T28" i="10"/>
  <c r="M61" i="8"/>
  <c r="M67" i="9"/>
  <c r="M58" i="1" s="1"/>
  <c r="T14" i="10"/>
  <c r="P16" i="10"/>
  <c r="T20" i="10"/>
  <c r="T22" i="10"/>
  <c r="T37" i="10"/>
  <c r="N19" i="5"/>
  <c r="P19" i="5" s="1"/>
  <c r="K82" i="9"/>
  <c r="P10" i="10"/>
  <c r="T30" i="10"/>
  <c r="K77" i="7"/>
  <c r="W77" i="7" s="1"/>
  <c r="L14" i="10"/>
  <c r="P34" i="10"/>
  <c r="T38" i="10"/>
  <c r="V41" i="10"/>
  <c r="Q51" i="9"/>
  <c r="Q53" i="9" s="1"/>
  <c r="Q57" i="1" s="1"/>
  <c r="P11" i="10"/>
  <c r="S56" i="5"/>
  <c r="Q12" i="7"/>
  <c r="U12" i="7" s="1"/>
  <c r="M52" i="8"/>
  <c r="W15" i="10"/>
  <c r="AB15" i="10" s="1"/>
  <c r="T17" i="10"/>
  <c r="P19" i="10"/>
  <c r="W22" i="10"/>
  <c r="AB22" i="10" s="1"/>
  <c r="V26" i="10"/>
  <c r="T31" i="10"/>
  <c r="V34" i="10"/>
  <c r="M58" i="7"/>
  <c r="L38" i="10"/>
  <c r="T12" i="10"/>
  <c r="K33" i="5"/>
  <c r="K34" i="5" s="1"/>
  <c r="M25" i="8"/>
  <c r="N25" i="8" s="1"/>
  <c r="P25" i="8" s="1"/>
  <c r="Q49" i="9"/>
  <c r="U49" i="9" s="1"/>
  <c r="V49" i="9" s="1"/>
  <c r="W9" i="10"/>
  <c r="AB9" i="10" s="1"/>
  <c r="V25" i="10"/>
  <c r="N31" i="2"/>
  <c r="P31" i="2" s="1"/>
  <c r="M32" i="2"/>
  <c r="M50" i="1" s="1"/>
  <c r="N78" i="7"/>
  <c r="P78" i="7" s="1"/>
  <c r="P77" i="7"/>
  <c r="U65" i="9"/>
  <c r="V65" i="9" s="1"/>
  <c r="M68" i="7"/>
  <c r="N65" i="7"/>
  <c r="P65" i="7" s="1"/>
  <c r="K48" i="5"/>
  <c r="M170" i="6"/>
  <c r="T93" i="7"/>
  <c r="U93" i="7" s="1"/>
  <c r="L19" i="10"/>
  <c r="L25" i="10"/>
  <c r="T34" i="10"/>
  <c r="T39" i="10"/>
  <c r="U25" i="1"/>
  <c r="T20" i="4"/>
  <c r="T52" i="1" s="1"/>
  <c r="C58" i="5"/>
  <c r="C53" i="1" s="1"/>
  <c r="S169" i="6"/>
  <c r="T169" i="6" s="1"/>
  <c r="U169" i="6" s="1"/>
  <c r="V169" i="6" s="1"/>
  <c r="C13" i="7"/>
  <c r="K12" i="7"/>
  <c r="M49" i="9"/>
  <c r="N49" i="9" s="1"/>
  <c r="P49" i="9" s="1"/>
  <c r="S51" i="9"/>
  <c r="N99" i="9"/>
  <c r="P99" i="9" s="1"/>
  <c r="M146" i="9"/>
  <c r="L11" i="10"/>
  <c r="L12" i="10"/>
  <c r="P14" i="10"/>
  <c r="L17" i="10"/>
  <c r="W17" i="10"/>
  <c r="AB17" i="10" s="1"/>
  <c r="P23" i="10"/>
  <c r="P25" i="10"/>
  <c r="T26" i="10"/>
  <c r="L30" i="10"/>
  <c r="L34" i="10"/>
  <c r="T40" i="10"/>
  <c r="M74" i="9"/>
  <c r="P25" i="1"/>
  <c r="S44" i="3"/>
  <c r="L10" i="10"/>
  <c r="T11" i="10"/>
  <c r="W25" i="10"/>
  <c r="AB25" i="10" s="1"/>
  <c r="W38" i="10"/>
  <c r="P41" i="10"/>
  <c r="S19" i="5"/>
  <c r="S20" i="5" s="1"/>
  <c r="U48" i="5"/>
  <c r="J52" i="8"/>
  <c r="T61" i="8"/>
  <c r="Q60" i="8"/>
  <c r="U60" i="8" s="1"/>
  <c r="Q67" i="9"/>
  <c r="Q58" i="1" s="1"/>
  <c r="U72" i="9"/>
  <c r="V72" i="9" s="1"/>
  <c r="P15" i="10"/>
  <c r="P17" i="10"/>
  <c r="L22" i="10"/>
  <c r="P24" i="10"/>
  <c r="W30" i="10"/>
  <c r="AB30" i="10" s="1"/>
  <c r="W34" i="10"/>
  <c r="AB34" i="10" s="1"/>
  <c r="P37" i="10"/>
  <c r="W40" i="10"/>
  <c r="AB40" i="10" s="1"/>
  <c r="M122" i="3"/>
  <c r="M51" i="1" s="1"/>
  <c r="K78" i="7"/>
  <c r="W78" i="7" s="1"/>
  <c r="V25" i="8"/>
  <c r="J61" i="8"/>
  <c r="K100" i="9"/>
  <c r="W100" i="9" s="1"/>
  <c r="L18" i="10"/>
  <c r="T23" i="10"/>
  <c r="P29" i="10"/>
  <c r="T33" i="10"/>
  <c r="Q142" i="6"/>
  <c r="Q144" i="6" s="1"/>
  <c r="K20" i="9"/>
  <c r="W20" i="9" s="1"/>
  <c r="W23" i="9" s="1"/>
  <c r="T51" i="9"/>
  <c r="T53" i="9" s="1"/>
  <c r="U48" i="9"/>
  <c r="J146" i="9"/>
  <c r="T15" i="10"/>
  <c r="W18" i="10"/>
  <c r="AB18" i="10" s="1"/>
  <c r="P21" i="10"/>
  <c r="T24" i="10"/>
  <c r="P26" i="10"/>
  <c r="T27" i="10"/>
  <c r="P30" i="10"/>
  <c r="V33" i="10"/>
  <c r="L35" i="10"/>
  <c r="L37" i="10"/>
  <c r="C82" i="9"/>
  <c r="W26" i="10"/>
  <c r="AB26" i="10" s="1"/>
  <c r="M16" i="4"/>
  <c r="K13" i="7"/>
  <c r="V18" i="10"/>
  <c r="T41" i="10"/>
  <c r="U55" i="5"/>
  <c r="Q13" i="7"/>
  <c r="J58" i="7"/>
  <c r="K72" i="9"/>
  <c r="W72" i="9" s="1"/>
  <c r="S100" i="9"/>
  <c r="T10" i="10"/>
  <c r="W14" i="10"/>
  <c r="AB14" i="10" s="1"/>
  <c r="T16" i="10"/>
  <c r="T19" i="10"/>
  <c r="T21" i="10"/>
  <c r="P22" i="10"/>
  <c r="T25" i="10"/>
  <c r="L27" i="10"/>
  <c r="P31" i="10"/>
  <c r="L33" i="10"/>
  <c r="W33" i="10"/>
  <c r="AB33" i="10" s="1"/>
  <c r="L41" i="10"/>
  <c r="W41" i="10"/>
  <c r="AB41" i="10" s="1"/>
  <c r="W37" i="1"/>
  <c r="K37" i="1"/>
  <c r="W8" i="2"/>
  <c r="K10" i="2"/>
  <c r="D32" i="2"/>
  <c r="D50" i="1" s="1"/>
  <c r="R32" i="2"/>
  <c r="V14" i="3"/>
  <c r="V31" i="3"/>
  <c r="J105" i="3"/>
  <c r="E122" i="3"/>
  <c r="E51" i="1" s="1"/>
  <c r="P8" i="5"/>
  <c r="V44" i="7"/>
  <c r="V71" i="7"/>
  <c r="M9" i="1"/>
  <c r="L37" i="1"/>
  <c r="L44" i="1" s="1"/>
  <c r="U31" i="2"/>
  <c r="V31" i="2" s="1"/>
  <c r="V16" i="3"/>
  <c r="V21" i="3"/>
  <c r="V26" i="3"/>
  <c r="W32" i="3"/>
  <c r="V38" i="3"/>
  <c r="V84" i="3"/>
  <c r="U86" i="3"/>
  <c r="V89" i="3"/>
  <c r="U110" i="3"/>
  <c r="V110" i="3" s="1"/>
  <c r="Q120" i="3"/>
  <c r="K20" i="5"/>
  <c r="V24" i="5"/>
  <c r="T49" i="5"/>
  <c r="V45" i="5"/>
  <c r="P37" i="1"/>
  <c r="U9" i="2"/>
  <c r="V9" i="2" s="1"/>
  <c r="W14" i="2"/>
  <c r="V15" i="2"/>
  <c r="E50" i="1"/>
  <c r="V13" i="3"/>
  <c r="W27" i="3"/>
  <c r="V30" i="3"/>
  <c r="V50" i="3"/>
  <c r="V55" i="3"/>
  <c r="V69" i="3"/>
  <c r="V71" i="3"/>
  <c r="V76" i="3"/>
  <c r="V80" i="3"/>
  <c r="V95" i="3"/>
  <c r="V97" i="3"/>
  <c r="V108" i="3"/>
  <c r="J120" i="3"/>
  <c r="K116" i="3"/>
  <c r="I122" i="3"/>
  <c r="I51" i="1" s="1"/>
  <c r="U20" i="4"/>
  <c r="W11" i="5"/>
  <c r="V31" i="5"/>
  <c r="R58" i="5"/>
  <c r="R53" i="1" s="1"/>
  <c r="S120" i="3"/>
  <c r="T118" i="3"/>
  <c r="U118" i="3" s="1"/>
  <c r="T56" i="5"/>
  <c r="U53" i="5"/>
  <c r="S10" i="2"/>
  <c r="S32" i="2" s="1"/>
  <c r="S50" i="1" s="1"/>
  <c r="T8" i="2"/>
  <c r="U8" i="2" s="1"/>
  <c r="V8" i="2" s="1"/>
  <c r="K29" i="2"/>
  <c r="W29" i="2" s="1"/>
  <c r="N24" i="3"/>
  <c r="P24" i="3" s="1"/>
  <c r="V24" i="3" s="1"/>
  <c r="V32" i="3"/>
  <c r="V39" i="3"/>
  <c r="V59" i="3"/>
  <c r="V61" i="3"/>
  <c r="L105" i="3"/>
  <c r="K20" i="4"/>
  <c r="K52" i="1" s="1"/>
  <c r="U52" i="1"/>
  <c r="V23" i="5"/>
  <c r="V17" i="6"/>
  <c r="N29" i="2"/>
  <c r="P29" i="2" s="1"/>
  <c r="V29" i="2" s="1"/>
  <c r="P14" i="2"/>
  <c r="V14" i="2" s="1"/>
  <c r="J45" i="3"/>
  <c r="K44" i="3"/>
  <c r="K45" i="3" s="1"/>
  <c r="N57" i="3"/>
  <c r="P57" i="3" s="1"/>
  <c r="V57" i="3" s="1"/>
  <c r="N67" i="3"/>
  <c r="P67" i="3" s="1"/>
  <c r="K86" i="3"/>
  <c r="W86" i="3" s="1"/>
  <c r="K24" i="3"/>
  <c r="W24" i="3" s="1"/>
  <c r="W10" i="3"/>
  <c r="T27" i="1"/>
  <c r="V16" i="2"/>
  <c r="V37" i="3"/>
  <c r="V47" i="3"/>
  <c r="V96" i="3"/>
  <c r="V100" i="3"/>
  <c r="N101" i="3"/>
  <c r="P101" i="3" s="1"/>
  <c r="V101" i="3" s="1"/>
  <c r="T104" i="3"/>
  <c r="U104" i="3" s="1"/>
  <c r="V104" i="3" s="1"/>
  <c r="V107" i="3"/>
  <c r="V109" i="3"/>
  <c r="W54" i="5"/>
  <c r="K56" i="5"/>
  <c r="Q32" i="2"/>
  <c r="V12" i="3"/>
  <c r="V29" i="3"/>
  <c r="U67" i="3"/>
  <c r="V67" i="3" s="1"/>
  <c r="N86" i="3"/>
  <c r="P86" i="3" s="1"/>
  <c r="W89" i="3"/>
  <c r="C105" i="3"/>
  <c r="C122" i="3" s="1"/>
  <c r="C51" i="1" s="1"/>
  <c r="M49" i="5"/>
  <c r="N48" i="5"/>
  <c r="P48" i="5" s="1"/>
  <c r="V48" i="5" s="1"/>
  <c r="N35" i="6"/>
  <c r="P35" i="6" s="1"/>
  <c r="M61" i="6"/>
  <c r="N55" i="6"/>
  <c r="P55" i="6" s="1"/>
  <c r="V57" i="6"/>
  <c r="V65" i="6"/>
  <c r="N100" i="6"/>
  <c r="P100" i="6" s="1"/>
  <c r="P90" i="6"/>
  <c r="V137" i="6"/>
  <c r="J10" i="2"/>
  <c r="J32" i="2" s="1"/>
  <c r="J50" i="1" s="1"/>
  <c r="K100" i="3"/>
  <c r="K101" i="3" s="1"/>
  <c r="S20" i="4"/>
  <c r="S52" i="1" s="1"/>
  <c r="E58" i="5"/>
  <c r="W25" i="5"/>
  <c r="W28" i="5"/>
  <c r="V36" i="5"/>
  <c r="V20" i="6"/>
  <c r="V27" i="6"/>
  <c r="T35" i="6"/>
  <c r="V53" i="6"/>
  <c r="V55" i="6"/>
  <c r="K74" i="6"/>
  <c r="V86" i="6"/>
  <c r="R105" i="3"/>
  <c r="T105" i="3" s="1"/>
  <c r="U105" i="3" s="1"/>
  <c r="U49" i="5"/>
  <c r="M56" i="5"/>
  <c r="N55" i="5"/>
  <c r="P55" i="5" s="1"/>
  <c r="V55" i="5" s="1"/>
  <c r="V11" i="6"/>
  <c r="U22" i="6"/>
  <c r="V22" i="6" s="1"/>
  <c r="V25" i="6"/>
  <c r="U35" i="6"/>
  <c r="V31" i="6"/>
  <c r="W61" i="6"/>
  <c r="R144" i="6"/>
  <c r="R208" i="6" s="1"/>
  <c r="R54" i="1" s="1"/>
  <c r="N44" i="3"/>
  <c r="P44" i="3" s="1"/>
  <c r="V8" i="4"/>
  <c r="V20" i="4" s="1"/>
  <c r="U8" i="5"/>
  <c r="T19" i="5"/>
  <c r="U19" i="5" s="1"/>
  <c r="V19" i="5" s="1"/>
  <c r="N25" i="5"/>
  <c r="P25" i="5" s="1"/>
  <c r="P22" i="5"/>
  <c r="Q58" i="5"/>
  <c r="Q53" i="1" s="1"/>
  <c r="V18" i="6"/>
  <c r="V39" i="6"/>
  <c r="V64" i="6"/>
  <c r="U74" i="6"/>
  <c r="T87" i="6"/>
  <c r="U77" i="6"/>
  <c r="V98" i="6"/>
  <c r="V113" i="6"/>
  <c r="V121" i="6"/>
  <c r="T120" i="3"/>
  <c r="W15" i="4"/>
  <c r="T25" i="5"/>
  <c r="T34" i="5"/>
  <c r="T33" i="5"/>
  <c r="U33" i="5" s="1"/>
  <c r="V33" i="5" s="1"/>
  <c r="S34" i="5"/>
  <c r="S58" i="5" s="1"/>
  <c r="S53" i="1" s="1"/>
  <c r="K22" i="6"/>
  <c r="W22" i="6" s="1"/>
  <c r="V45" i="6"/>
  <c r="W74" i="6"/>
  <c r="V66" i="6"/>
  <c r="W30" i="3"/>
  <c r="K50" i="3"/>
  <c r="K57" i="3" s="1"/>
  <c r="W57" i="3" s="1"/>
  <c r="N118" i="3"/>
  <c r="I58" i="5"/>
  <c r="I53" i="1" s="1"/>
  <c r="U22" i="5"/>
  <c r="N34" i="5"/>
  <c r="P34" i="5" s="1"/>
  <c r="U28" i="5"/>
  <c r="V30" i="5"/>
  <c r="V32" i="5"/>
  <c r="V35" i="5"/>
  <c r="K49" i="5"/>
  <c r="V21" i="6"/>
  <c r="N61" i="6"/>
  <c r="P61" i="6" s="1"/>
  <c r="V54" i="6"/>
  <c r="I144" i="6"/>
  <c r="T100" i="6"/>
  <c r="U142" i="6"/>
  <c r="J170" i="6"/>
  <c r="K169" i="6"/>
  <c r="K170" i="6" s="1"/>
  <c r="J58" i="5"/>
  <c r="J53" i="1" s="1"/>
  <c r="M34" i="5"/>
  <c r="N49" i="5"/>
  <c r="P49" i="5" s="1"/>
  <c r="V14" i="6"/>
  <c r="U61" i="6"/>
  <c r="V61" i="6" s="1"/>
  <c r="T74" i="6"/>
  <c r="V119" i="6"/>
  <c r="V167" i="6"/>
  <c r="W22" i="5"/>
  <c r="N29" i="6"/>
  <c r="P29" i="6" s="1"/>
  <c r="V29" i="6" s="1"/>
  <c r="P52" i="6"/>
  <c r="V52" i="6" s="1"/>
  <c r="V96" i="6"/>
  <c r="U103" i="6"/>
  <c r="T127" i="6"/>
  <c r="T144" i="6" s="1"/>
  <c r="L144" i="6"/>
  <c r="E144" i="6"/>
  <c r="W35" i="6"/>
  <c r="U49" i="6"/>
  <c r="M144" i="6"/>
  <c r="V90" i="6"/>
  <c r="V100" i="6" s="1"/>
  <c r="V110" i="6"/>
  <c r="V139" i="6"/>
  <c r="V150" i="6"/>
  <c r="S162" i="6"/>
  <c r="T161" i="6"/>
  <c r="U161" i="6" s="1"/>
  <c r="N170" i="6"/>
  <c r="P170" i="6" s="1"/>
  <c r="V112" i="6"/>
  <c r="V134" i="6"/>
  <c r="C144" i="6"/>
  <c r="N140" i="6"/>
  <c r="P140" i="6" s="1"/>
  <c r="V148" i="6"/>
  <c r="V152" i="6"/>
  <c r="T22" i="6"/>
  <c r="N49" i="6"/>
  <c r="P49" i="6" s="1"/>
  <c r="N74" i="6"/>
  <c r="P74" i="6" s="1"/>
  <c r="K87" i="6"/>
  <c r="W87" i="6" s="1"/>
  <c r="D144" i="6"/>
  <c r="D208" i="6" s="1"/>
  <c r="D54" i="1" s="1"/>
  <c r="K127" i="6"/>
  <c r="W127" i="6" s="1"/>
  <c r="J144" i="6"/>
  <c r="K142" i="6"/>
  <c r="K144" i="6" s="1"/>
  <c r="K162" i="6"/>
  <c r="W162" i="6" s="1"/>
  <c r="V173" i="6"/>
  <c r="U176" i="6"/>
  <c r="V176" i="6" s="1"/>
  <c r="N87" i="6"/>
  <c r="P87" i="6" s="1"/>
  <c r="V95" i="6"/>
  <c r="V120" i="6"/>
  <c r="P142" i="6"/>
  <c r="V151" i="6"/>
  <c r="V84" i="6"/>
  <c r="V91" i="6"/>
  <c r="V97" i="6"/>
  <c r="U100" i="6"/>
  <c r="N127" i="6"/>
  <c r="P127" i="6" s="1"/>
  <c r="P102" i="6"/>
  <c r="V102" i="6" s="1"/>
  <c r="V126" i="6"/>
  <c r="V133" i="6"/>
  <c r="V155" i="6"/>
  <c r="W180" i="6"/>
  <c r="Q202" i="6"/>
  <c r="S144" i="6"/>
  <c r="Y208" i="6"/>
  <c r="T186" i="6"/>
  <c r="T202" i="6" s="1"/>
  <c r="V190" i="6"/>
  <c r="E202" i="6"/>
  <c r="R202" i="6"/>
  <c r="V205" i="6"/>
  <c r="T13" i="7"/>
  <c r="U39" i="7"/>
  <c r="V35" i="7"/>
  <c r="K68" i="7"/>
  <c r="G180" i="6"/>
  <c r="V182" i="6"/>
  <c r="F202" i="6"/>
  <c r="C208" i="6"/>
  <c r="C54" i="1" s="1"/>
  <c r="U130" i="6"/>
  <c r="U147" i="6"/>
  <c r="K176" i="6"/>
  <c r="K202" i="6" s="1"/>
  <c r="T176" i="6"/>
  <c r="U179" i="6"/>
  <c r="G202" i="6"/>
  <c r="V11" i="7"/>
  <c r="V12" i="7"/>
  <c r="U30" i="7"/>
  <c r="V30" i="7" s="1"/>
  <c r="W40" i="7"/>
  <c r="W68" i="7"/>
  <c r="V76" i="7"/>
  <c r="V85" i="7"/>
  <c r="V87" i="7"/>
  <c r="W178" i="6"/>
  <c r="W186" i="6"/>
  <c r="V53" i="7"/>
  <c r="U56" i="7"/>
  <c r="V56" i="7" s="1"/>
  <c r="V102" i="7"/>
  <c r="V100" i="7"/>
  <c r="N161" i="6"/>
  <c r="P161" i="6" s="1"/>
  <c r="I208" i="6"/>
  <c r="I54" i="1" s="1"/>
  <c r="C113" i="7"/>
  <c r="C55" i="1" s="1"/>
  <c r="V45" i="7"/>
  <c r="V55" i="7"/>
  <c r="V82" i="7"/>
  <c r="L202" i="6"/>
  <c r="M202" i="6"/>
  <c r="V201" i="6"/>
  <c r="L208" i="6"/>
  <c r="L54" i="1" s="1"/>
  <c r="P39" i="7"/>
  <c r="V39" i="7" s="1"/>
  <c r="N40" i="7"/>
  <c r="P40" i="7" s="1"/>
  <c r="P47" i="7"/>
  <c r="V75" i="7"/>
  <c r="V86" i="7"/>
  <c r="V88" i="7"/>
  <c r="Q105" i="7"/>
  <c r="U7" i="7"/>
  <c r="U13" i="7" s="1"/>
  <c r="V13" i="7" s="1"/>
  <c r="M113" i="7"/>
  <c r="M55" i="1" s="1"/>
  <c r="U77" i="7"/>
  <c r="U78" i="7" s="1"/>
  <c r="V78" i="7" s="1"/>
  <c r="W106" i="7"/>
  <c r="R112" i="7"/>
  <c r="R113" i="7" s="1"/>
  <c r="R55" i="1" s="1"/>
  <c r="N198" i="6"/>
  <c r="W198" i="6"/>
  <c r="P33" i="7"/>
  <c r="V33" i="7" s="1"/>
  <c r="W47" i="7"/>
  <c r="Q58" i="7"/>
  <c r="S78" i="7"/>
  <c r="K94" i="7"/>
  <c r="W94" i="7" s="1"/>
  <c r="Q28" i="8"/>
  <c r="N206" i="6"/>
  <c r="W7" i="7"/>
  <c r="W39" i="7"/>
  <c r="T52" i="7"/>
  <c r="T58" i="7" s="1"/>
  <c r="T78" i="7"/>
  <c r="N28" i="8"/>
  <c r="P8" i="8"/>
  <c r="V12" i="8"/>
  <c r="V20" i="8"/>
  <c r="V26" i="8"/>
  <c r="U186" i="6"/>
  <c r="V186" i="6" s="1"/>
  <c r="U44" i="7"/>
  <c r="U47" i="7" s="1"/>
  <c r="N54" i="7"/>
  <c r="P54" i="7" s="1"/>
  <c r="V54" i="7" s="1"/>
  <c r="N68" i="7"/>
  <c r="P68" i="7" s="1"/>
  <c r="E111" i="7"/>
  <c r="V8" i="8"/>
  <c r="P7" i="7"/>
  <c r="V7" i="7" s="1"/>
  <c r="W9" i="7"/>
  <c r="K58" i="7"/>
  <c r="W58" i="7" s="1"/>
  <c r="T65" i="7"/>
  <c r="U65" i="7" s="1"/>
  <c r="U68" i="7" s="1"/>
  <c r="T94" i="7"/>
  <c r="J94" i="7"/>
  <c r="J113" i="7" s="1"/>
  <c r="J55" i="1" s="1"/>
  <c r="N52" i="8"/>
  <c r="P52" i="8" s="1"/>
  <c r="U188" i="6"/>
  <c r="W191" i="6"/>
  <c r="V81" i="7"/>
  <c r="U97" i="7"/>
  <c r="U102" i="7" s="1"/>
  <c r="D113" i="7"/>
  <c r="D55" i="1" s="1"/>
  <c r="L28" i="8"/>
  <c r="L63" i="8" s="1"/>
  <c r="L56" i="1" s="1"/>
  <c r="N21" i="8"/>
  <c r="P21" i="8" s="1"/>
  <c r="V21" i="8" s="1"/>
  <c r="V60" i="8"/>
  <c r="L113" i="7"/>
  <c r="L55" i="1" s="1"/>
  <c r="W81" i="7"/>
  <c r="K28" i="8"/>
  <c r="W28" i="8" s="1"/>
  <c r="V46" i="8"/>
  <c r="V50" i="8"/>
  <c r="U51" i="8"/>
  <c r="V51" i="8" s="1"/>
  <c r="C63" i="8"/>
  <c r="C56" i="1" s="1"/>
  <c r="I63" i="8"/>
  <c r="I56" i="1" s="1"/>
  <c r="G65" i="8"/>
  <c r="V13" i="9"/>
  <c r="V17" i="9"/>
  <c r="P33" i="9"/>
  <c r="W36" i="9"/>
  <c r="K45" i="9"/>
  <c r="V50" i="9"/>
  <c r="U57" i="9"/>
  <c r="V57" i="9" s="1"/>
  <c r="T67" i="9"/>
  <c r="T58" i="1" s="1"/>
  <c r="L67" i="9"/>
  <c r="L58" i="1" s="1"/>
  <c r="N61" i="9"/>
  <c r="P61" i="9" s="1"/>
  <c r="C149" i="9"/>
  <c r="C147" i="9"/>
  <c r="C59" i="1" s="1"/>
  <c r="T28" i="8"/>
  <c r="P40" i="8"/>
  <c r="K61" i="8"/>
  <c r="W61" i="8" s="1"/>
  <c r="V61" i="9"/>
  <c r="W70" i="9"/>
  <c r="E74" i="9"/>
  <c r="W16" i="10"/>
  <c r="AB16" i="10" s="1"/>
  <c r="L16" i="10"/>
  <c r="V35" i="10"/>
  <c r="W35" i="10"/>
  <c r="AB35" i="10" s="1"/>
  <c r="P35" i="10"/>
  <c r="U28" i="8"/>
  <c r="N35" i="8"/>
  <c r="P35" i="8" s="1"/>
  <c r="U38" i="8"/>
  <c r="Q40" i="8"/>
  <c r="N42" i="8"/>
  <c r="P42" i="8" s="1"/>
  <c r="V42" i="8" s="1"/>
  <c r="K52" i="8"/>
  <c r="P55" i="8"/>
  <c r="V55" i="8" s="1"/>
  <c r="N56" i="8"/>
  <c r="P56" i="8" s="1"/>
  <c r="N10" i="9"/>
  <c r="P10" i="9" s="1"/>
  <c r="V10" i="9" s="1"/>
  <c r="M23" i="9"/>
  <c r="N20" i="9"/>
  <c r="P20" i="9" s="1"/>
  <c r="M28" i="8"/>
  <c r="K129" i="9"/>
  <c r="V109" i="9"/>
  <c r="T23" i="9"/>
  <c r="V11" i="9"/>
  <c r="V15" i="9"/>
  <c r="V19" i="9"/>
  <c r="V29" i="9"/>
  <c r="W37" i="9"/>
  <c r="W31" i="10"/>
  <c r="AB31" i="10" s="1"/>
  <c r="L31" i="10"/>
  <c r="T32" i="10"/>
  <c r="V32" i="10"/>
  <c r="J51" i="9"/>
  <c r="J53" i="9" s="1"/>
  <c r="J57" i="1" s="1"/>
  <c r="K48" i="9"/>
  <c r="W48" i="9" s="1"/>
  <c r="K67" i="9"/>
  <c r="K58" i="1" s="1"/>
  <c r="W57" i="9"/>
  <c r="W67" i="9" s="1"/>
  <c r="W58" i="1" s="1"/>
  <c r="J147" i="9"/>
  <c r="J59" i="1" s="1"/>
  <c r="W20" i="10"/>
  <c r="AB20" i="10" s="1"/>
  <c r="V20" i="10"/>
  <c r="P20" i="10"/>
  <c r="U10" i="8"/>
  <c r="V10" i="8" s="1"/>
  <c r="E48" i="8"/>
  <c r="W48" i="8" s="1"/>
  <c r="W52" i="8" s="1"/>
  <c r="U56" i="8"/>
  <c r="T20" i="9"/>
  <c r="U20" i="9" s="1"/>
  <c r="V20" i="9" s="1"/>
  <c r="V31" i="9"/>
  <c r="S53" i="9"/>
  <c r="S57" i="1" s="1"/>
  <c r="K51" i="9"/>
  <c r="M51" i="9"/>
  <c r="M53" i="9" s="1"/>
  <c r="M149" i="9" s="1"/>
  <c r="V62" i="9"/>
  <c r="V117" i="9"/>
  <c r="L149" i="9"/>
  <c r="L147" i="9"/>
  <c r="L59" i="1" s="1"/>
  <c r="V132" i="9"/>
  <c r="V137" i="9" s="1"/>
  <c r="U33" i="8"/>
  <c r="K23" i="9"/>
  <c r="V28" i="9"/>
  <c r="V33" i="9" s="1"/>
  <c r="V42" i="9"/>
  <c r="V45" i="9" s="1"/>
  <c r="V71" i="9"/>
  <c r="N74" i="9"/>
  <c r="P74" i="9" s="1"/>
  <c r="T129" i="9"/>
  <c r="U129" i="9" s="1"/>
  <c r="U104" i="9"/>
  <c r="K32" i="9"/>
  <c r="W32" i="9" s="1"/>
  <c r="W33" i="9" s="1"/>
  <c r="K74" i="9"/>
  <c r="N82" i="9"/>
  <c r="P82" i="9" s="1"/>
  <c r="V115" i="9"/>
  <c r="R42" i="10"/>
  <c r="V11" i="10"/>
  <c r="W11" i="10"/>
  <c r="AB11" i="10" s="1"/>
  <c r="L29" i="10"/>
  <c r="N33" i="9"/>
  <c r="U64" i="9"/>
  <c r="V64" i="9" s="1"/>
  <c r="M82" i="9"/>
  <c r="W129" i="9"/>
  <c r="W145" i="9"/>
  <c r="E149" i="9"/>
  <c r="E147" i="9"/>
  <c r="J42" i="10"/>
  <c r="J47" i="10" s="1"/>
  <c r="S42" i="10"/>
  <c r="L28" i="10"/>
  <c r="W32" i="10"/>
  <c r="AB32" i="10" s="1"/>
  <c r="L32" i="10"/>
  <c r="W36" i="10"/>
  <c r="AB36" i="10" s="1"/>
  <c r="V36" i="10"/>
  <c r="P36" i="10"/>
  <c r="N48" i="9"/>
  <c r="P48" i="9" s="1"/>
  <c r="V48" i="9" s="1"/>
  <c r="S67" i="9"/>
  <c r="S58" i="1" s="1"/>
  <c r="W82" i="9"/>
  <c r="V107" i="9"/>
  <c r="T141" i="9"/>
  <c r="U141" i="9" s="1"/>
  <c r="V141" i="9" s="1"/>
  <c r="K42" i="10"/>
  <c r="U42" i="10"/>
  <c r="W12" i="10"/>
  <c r="AB12" i="10" s="1"/>
  <c r="V12" i="10"/>
  <c r="P12" i="10"/>
  <c r="W23" i="10"/>
  <c r="AB23" i="10" s="1"/>
  <c r="V27" i="10"/>
  <c r="W27" i="10"/>
  <c r="AB27" i="10" s="1"/>
  <c r="V39" i="10"/>
  <c r="W51" i="9"/>
  <c r="W47" i="9"/>
  <c r="N67" i="9"/>
  <c r="S74" i="9"/>
  <c r="T70" i="9"/>
  <c r="U77" i="9"/>
  <c r="V77" i="9" s="1"/>
  <c r="V85" i="9"/>
  <c r="V94" i="9"/>
  <c r="Q100" i="9"/>
  <c r="U99" i="9"/>
  <c r="T100" i="9"/>
  <c r="V124" i="9"/>
  <c r="V136" i="9"/>
  <c r="M42" i="10"/>
  <c r="V24" i="10"/>
  <c r="W39" i="10"/>
  <c r="AB39" i="10" s="1"/>
  <c r="L39" i="10"/>
  <c r="J67" i="9"/>
  <c r="J58" i="1" s="1"/>
  <c r="Q82" i="9"/>
  <c r="N104" i="9"/>
  <c r="R146" i="9"/>
  <c r="N42" i="10"/>
  <c r="V10" i="10"/>
  <c r="W10" i="10"/>
  <c r="AB10" i="10" s="1"/>
  <c r="AC10" i="10" s="1"/>
  <c r="T13" i="10"/>
  <c r="L15" i="10"/>
  <c r="L20" i="10"/>
  <c r="W24" i="10"/>
  <c r="AB24" i="10" s="1"/>
  <c r="L24" i="10"/>
  <c r="W28" i="10"/>
  <c r="AB28" i="10" s="1"/>
  <c r="V28" i="10"/>
  <c r="P28" i="10"/>
  <c r="P32" i="10"/>
  <c r="P33" i="10"/>
  <c r="T36" i="10"/>
  <c r="Q42" i="10"/>
  <c r="V116" i="9"/>
  <c r="W142" i="9"/>
  <c r="G146" i="9"/>
  <c r="Q146" i="9"/>
  <c r="U145" i="9"/>
  <c r="V145" i="9" s="1"/>
  <c r="O42" i="10"/>
  <c r="V19" i="10"/>
  <c r="W19" i="10"/>
  <c r="AB19" i="10" s="1"/>
  <c r="V93" i="9"/>
  <c r="V123" i="9"/>
  <c r="K137" i="9"/>
  <c r="W137" i="9" s="1"/>
  <c r="U137" i="9"/>
  <c r="P139" i="9"/>
  <c r="V139" i="9" s="1"/>
  <c r="V142" i="9" s="1"/>
  <c r="I146" i="9"/>
  <c r="S146" i="9"/>
  <c r="P9" i="10"/>
  <c r="L13" i="10"/>
  <c r="V16" i="10"/>
  <c r="T29" i="10"/>
  <c r="L36" i="10"/>
  <c r="P39" i="10"/>
  <c r="P40" i="10"/>
  <c r="V15" i="10"/>
  <c r="V23" i="10"/>
  <c r="V31" i="10"/>
  <c r="V14" i="10"/>
  <c r="V22" i="10"/>
  <c r="V30" i="10"/>
  <c r="V38" i="10"/>
  <c r="V13" i="10"/>
  <c r="V21" i="10"/>
  <c r="V29" i="10"/>
  <c r="V37" i="10"/>
  <c r="L9" i="10"/>
  <c r="T9" i="10"/>
  <c r="W13" i="10"/>
  <c r="AB13" i="10" s="1"/>
  <c r="W21" i="10"/>
  <c r="AB21" i="10" s="1"/>
  <c r="W29" i="10"/>
  <c r="AB29" i="10" s="1"/>
  <c r="W37" i="10"/>
  <c r="AB37" i="10" s="1"/>
  <c r="V99" i="9" l="1"/>
  <c r="N51" i="9"/>
  <c r="P51" i="9" s="1"/>
  <c r="U58" i="1"/>
  <c r="J208" i="6"/>
  <c r="J54" i="1" s="1"/>
  <c r="T170" i="6"/>
  <c r="N20" i="5"/>
  <c r="J63" i="8"/>
  <c r="J56" i="1" s="1"/>
  <c r="M208" i="6"/>
  <c r="M54" i="1" s="1"/>
  <c r="M63" i="8"/>
  <c r="M56" i="1" s="1"/>
  <c r="M62" i="1" s="1"/>
  <c r="N162" i="6"/>
  <c r="P162" i="6" s="1"/>
  <c r="U53" i="9"/>
  <c r="T82" i="9"/>
  <c r="U82" i="9" s="1"/>
  <c r="U67" i="9"/>
  <c r="M58" i="5"/>
  <c r="M53" i="1" s="1"/>
  <c r="U100" i="9"/>
  <c r="N100" i="9"/>
  <c r="P100" i="9" s="1"/>
  <c r="N94" i="7"/>
  <c r="P94" i="7" s="1"/>
  <c r="V93" i="7"/>
  <c r="U94" i="7"/>
  <c r="V94" i="7" s="1"/>
  <c r="N53" i="9"/>
  <c r="P53" i="9" s="1"/>
  <c r="M20" i="4"/>
  <c r="M52" i="1" s="1"/>
  <c r="N16" i="4"/>
  <c r="N20" i="4" s="1"/>
  <c r="N52" i="1" s="1"/>
  <c r="P52" i="1" s="1"/>
  <c r="V42" i="10"/>
  <c r="T42" i="10"/>
  <c r="V51" i="9"/>
  <c r="V52" i="1"/>
  <c r="V23" i="9"/>
  <c r="U170" i="6"/>
  <c r="V170" i="6" s="1"/>
  <c r="M57" i="1"/>
  <c r="V82" i="9"/>
  <c r="S45" i="3"/>
  <c r="T45" i="3" s="1"/>
  <c r="U45" i="3" s="1"/>
  <c r="V45" i="3" s="1"/>
  <c r="T44" i="3"/>
  <c r="U44" i="3" s="1"/>
  <c r="O47" i="10"/>
  <c r="U51" i="9"/>
  <c r="V67" i="9"/>
  <c r="V25" i="1"/>
  <c r="C62" i="1"/>
  <c r="C64" i="1" s="1"/>
  <c r="M147" i="9"/>
  <c r="M59" i="1" s="1"/>
  <c r="S170" i="6"/>
  <c r="V44" i="3"/>
  <c r="Q61" i="8"/>
  <c r="W101" i="3"/>
  <c r="K105" i="3"/>
  <c r="U56" i="5"/>
  <c r="V53" i="5"/>
  <c r="E59" i="1"/>
  <c r="V68" i="7"/>
  <c r="L42" i="10"/>
  <c r="P206" i="6"/>
  <c r="V206" i="6" s="1"/>
  <c r="N202" i="6"/>
  <c r="P202" i="6" s="1"/>
  <c r="P198" i="6"/>
  <c r="V127" i="6"/>
  <c r="N144" i="6"/>
  <c r="P144" i="6" s="1"/>
  <c r="K208" i="6"/>
  <c r="K54" i="1" s="1"/>
  <c r="U127" i="6"/>
  <c r="V103" i="6"/>
  <c r="Y143" i="6"/>
  <c r="V142" i="6"/>
  <c r="P118" i="3"/>
  <c r="V118" i="3" s="1"/>
  <c r="N120" i="3"/>
  <c r="K58" i="5"/>
  <c r="K53" i="1" s="1"/>
  <c r="V86" i="3"/>
  <c r="W10" i="2"/>
  <c r="Q147" i="9"/>
  <c r="Q149" i="9"/>
  <c r="G147" i="9"/>
  <c r="G59" i="1" s="1"/>
  <c r="G149" i="9"/>
  <c r="K33" i="9"/>
  <c r="K53" i="9" s="1"/>
  <c r="W53" i="9" s="1"/>
  <c r="W57" i="1" s="1"/>
  <c r="T142" i="9"/>
  <c r="V47" i="7"/>
  <c r="K113" i="7"/>
  <c r="K55" i="1" s="1"/>
  <c r="V77" i="7"/>
  <c r="U162" i="6"/>
  <c r="V162" i="6" s="1"/>
  <c r="V147" i="6"/>
  <c r="W176" i="6"/>
  <c r="U87" i="6"/>
  <c r="V87" i="6" s="1"/>
  <c r="V77" i="6"/>
  <c r="V49" i="5"/>
  <c r="N32" i="2"/>
  <c r="N105" i="3"/>
  <c r="P105" i="3" s="1"/>
  <c r="V105" i="3" s="1"/>
  <c r="L122" i="3"/>
  <c r="L51" i="1" s="1"/>
  <c r="L62" i="1" s="1"/>
  <c r="K120" i="3"/>
  <c r="W116" i="3"/>
  <c r="T20" i="5"/>
  <c r="T58" i="5" s="1"/>
  <c r="T53" i="1" s="1"/>
  <c r="U53" i="1" s="1"/>
  <c r="K46" i="1"/>
  <c r="K44" i="1"/>
  <c r="P42" i="10"/>
  <c r="P67" i="9"/>
  <c r="N58" i="1"/>
  <c r="P58" i="1" s="1"/>
  <c r="V58" i="1" s="1"/>
  <c r="K146" i="9"/>
  <c r="N23" i="9"/>
  <c r="W45" i="9"/>
  <c r="Q111" i="7"/>
  <c r="S105" i="7"/>
  <c r="V130" i="6"/>
  <c r="V140" i="6" s="1"/>
  <c r="U140" i="6"/>
  <c r="U144" i="6" s="1"/>
  <c r="W202" i="6"/>
  <c r="V49" i="6"/>
  <c r="V35" i="6"/>
  <c r="Q50" i="1"/>
  <c r="J122" i="3"/>
  <c r="J51" i="1" s="1"/>
  <c r="L64" i="1"/>
  <c r="T74" i="9"/>
  <c r="U74" i="9" s="1"/>
  <c r="U70" i="9"/>
  <c r="V70" i="9" s="1"/>
  <c r="V74" i="9" s="1"/>
  <c r="U35" i="8"/>
  <c r="V33" i="8"/>
  <c r="V35" i="8" s="1"/>
  <c r="U23" i="9"/>
  <c r="T57" i="1"/>
  <c r="U57" i="1" s="1"/>
  <c r="P28" i="8"/>
  <c r="V65" i="7"/>
  <c r="N58" i="7"/>
  <c r="P58" i="7" s="1"/>
  <c r="V161" i="6"/>
  <c r="N45" i="3"/>
  <c r="P45" i="3" s="1"/>
  <c r="U120" i="3"/>
  <c r="Q122" i="3"/>
  <c r="N9" i="1"/>
  <c r="N44" i="1" s="1"/>
  <c r="P9" i="1"/>
  <c r="Q9" i="1" s="1"/>
  <c r="P20" i="5"/>
  <c r="T10" i="2"/>
  <c r="U10" i="2" s="1"/>
  <c r="V10" i="2" s="1"/>
  <c r="V56" i="8"/>
  <c r="V61" i="8" s="1"/>
  <c r="U61" i="8"/>
  <c r="W42" i="10"/>
  <c r="AB42" i="10" s="1"/>
  <c r="S149" i="9"/>
  <c r="S147" i="9"/>
  <c r="S59" i="1" s="1"/>
  <c r="E52" i="8"/>
  <c r="E63" i="8" s="1"/>
  <c r="E56" i="1" s="1"/>
  <c r="W63" i="8"/>
  <c r="W56" i="1" s="1"/>
  <c r="U198" i="6"/>
  <c r="V188" i="6"/>
  <c r="E208" i="6"/>
  <c r="U34" i="5"/>
  <c r="V34" i="5" s="1"/>
  <c r="V28" i="5"/>
  <c r="V74" i="6"/>
  <c r="U20" i="5"/>
  <c r="V8" i="5"/>
  <c r="N56" i="5"/>
  <c r="P56" i="5" s="1"/>
  <c r="T32" i="2"/>
  <c r="T50" i="1" s="1"/>
  <c r="R50" i="1"/>
  <c r="W44" i="1"/>
  <c r="I149" i="9"/>
  <c r="I147" i="9"/>
  <c r="I59" i="1" s="1"/>
  <c r="I62" i="1" s="1"/>
  <c r="I64" i="1" s="1"/>
  <c r="R149" i="9"/>
  <c r="R147" i="9"/>
  <c r="R59" i="1" s="1"/>
  <c r="S40" i="8"/>
  <c r="N61" i="8"/>
  <c r="P61" i="8" s="1"/>
  <c r="V28" i="8"/>
  <c r="V97" i="7"/>
  <c r="U180" i="6"/>
  <c r="V180" i="6" s="1"/>
  <c r="V179" i="6"/>
  <c r="Q208" i="6"/>
  <c r="Q54" i="1" s="1"/>
  <c r="T162" i="6"/>
  <c r="T208" i="6" s="1"/>
  <c r="T54" i="1" s="1"/>
  <c r="R122" i="3"/>
  <c r="T37" i="1"/>
  <c r="U27" i="1"/>
  <c r="D62" i="1"/>
  <c r="D64" i="1" s="1"/>
  <c r="M44" i="1"/>
  <c r="N129" i="9"/>
  <c r="P104" i="9"/>
  <c r="V104" i="9" s="1"/>
  <c r="V129" i="9" s="1"/>
  <c r="V146" i="9" s="1"/>
  <c r="V100" i="9"/>
  <c r="J149" i="9"/>
  <c r="V38" i="8"/>
  <c r="W74" i="9"/>
  <c r="K63" i="8"/>
  <c r="K56" i="1" s="1"/>
  <c r="E112" i="7"/>
  <c r="W112" i="7" s="1"/>
  <c r="W111" i="7"/>
  <c r="Q52" i="8"/>
  <c r="T68" i="7"/>
  <c r="U40" i="7"/>
  <c r="V40" i="7" s="1"/>
  <c r="S208" i="6"/>
  <c r="S54" i="1" s="1"/>
  <c r="V22" i="5"/>
  <c r="V25" i="5" s="1"/>
  <c r="U25" i="5"/>
  <c r="U52" i="7"/>
  <c r="K32" i="2"/>
  <c r="V147" i="9" l="1"/>
  <c r="J62" i="1"/>
  <c r="J64" i="1" s="1"/>
  <c r="M64" i="1"/>
  <c r="S122" i="3"/>
  <c r="S51" i="1" s="1"/>
  <c r="V53" i="9"/>
  <c r="Q63" i="8"/>
  <c r="Q56" i="1" s="1"/>
  <c r="K57" i="1"/>
  <c r="Y144" i="6"/>
  <c r="P23" i="9"/>
  <c r="N57" i="1"/>
  <c r="P57" i="1" s="1"/>
  <c r="V57" i="1" s="1"/>
  <c r="N58" i="5"/>
  <c r="U50" i="1"/>
  <c r="U58" i="5"/>
  <c r="N122" i="3"/>
  <c r="P120" i="3"/>
  <c r="R62" i="1"/>
  <c r="R64" i="1" s="1"/>
  <c r="K50" i="1"/>
  <c r="K37" i="2"/>
  <c r="S9" i="1"/>
  <c r="Q44" i="1"/>
  <c r="U32" i="2"/>
  <c r="T105" i="7"/>
  <c r="U105" i="7" s="1"/>
  <c r="V105" i="7" s="1"/>
  <c r="S111" i="7"/>
  <c r="Q59" i="1"/>
  <c r="U54" i="1"/>
  <c r="U58" i="7"/>
  <c r="V58" i="7" s="1"/>
  <c r="V52" i="7"/>
  <c r="U37" i="1"/>
  <c r="V27" i="1"/>
  <c r="E54" i="1"/>
  <c r="P44" i="1"/>
  <c r="N63" i="8"/>
  <c r="V144" i="6"/>
  <c r="N113" i="7"/>
  <c r="P32" i="2"/>
  <c r="N50" i="1"/>
  <c r="Q51" i="1"/>
  <c r="Q112" i="7"/>
  <c r="K149" i="9"/>
  <c r="K147" i="9"/>
  <c r="W146" i="9"/>
  <c r="W149" i="9" s="1"/>
  <c r="T146" i="9"/>
  <c r="U142" i="9"/>
  <c r="P129" i="9"/>
  <c r="N146" i="9"/>
  <c r="V120" i="3"/>
  <c r="K122" i="3"/>
  <c r="K51" i="1" s="1"/>
  <c r="W120" i="3"/>
  <c r="V56" i="5"/>
  <c r="T122" i="3"/>
  <c r="T51" i="1" s="1"/>
  <c r="R51" i="1"/>
  <c r="W46" i="1"/>
  <c r="V20" i="5"/>
  <c r="T40" i="8"/>
  <c r="S52" i="8"/>
  <c r="S63" i="8" s="1"/>
  <c r="S56" i="1" s="1"/>
  <c r="U202" i="6"/>
  <c r="V202" i="6" s="1"/>
  <c r="V198" i="6"/>
  <c r="N208" i="6"/>
  <c r="E113" i="7"/>
  <c r="U51" i="1" l="1"/>
  <c r="V32" i="2"/>
  <c r="U122" i="3"/>
  <c r="V122" i="3" s="1"/>
  <c r="P113" i="7"/>
  <c r="N55" i="1"/>
  <c r="P55" i="1" s="1"/>
  <c r="P58" i="5"/>
  <c r="N53" i="1"/>
  <c r="P53" i="1" s="1"/>
  <c r="V53" i="1" s="1"/>
  <c r="V37" i="1"/>
  <c r="P208" i="6"/>
  <c r="N54" i="1"/>
  <c r="P54" i="1" s="1"/>
  <c r="V54" i="1" s="1"/>
  <c r="P63" i="8"/>
  <c r="N56" i="1"/>
  <c r="P56" i="1" s="1"/>
  <c r="T9" i="1"/>
  <c r="S44" i="1"/>
  <c r="K59" i="1"/>
  <c r="W147" i="9"/>
  <c r="W59" i="1" s="1"/>
  <c r="V58" i="5"/>
  <c r="T149" i="9"/>
  <c r="U149" i="9" s="1"/>
  <c r="T147" i="9"/>
  <c r="U146" i="9"/>
  <c r="N51" i="1"/>
  <c r="P51" i="1" s="1"/>
  <c r="V51" i="1" s="1"/>
  <c r="P122" i="3"/>
  <c r="T52" i="8"/>
  <c r="T63" i="8" s="1"/>
  <c r="T56" i="1" s="1"/>
  <c r="U56" i="1" s="1"/>
  <c r="U40" i="8"/>
  <c r="P50" i="1"/>
  <c r="N147" i="9"/>
  <c r="P146" i="9"/>
  <c r="N149" i="9"/>
  <c r="P149" i="9" s="1"/>
  <c r="Q113" i="7"/>
  <c r="Q55" i="1" s="1"/>
  <c r="Q62" i="1" s="1"/>
  <c r="Q64" i="1" s="1"/>
  <c r="E62" i="1"/>
  <c r="E64" i="1" s="1"/>
  <c r="V50" i="1"/>
  <c r="E55" i="1"/>
  <c r="S112" i="7"/>
  <c r="T111" i="7"/>
  <c r="S113" i="7"/>
  <c r="S55" i="1" s="1"/>
  <c r="S62" i="1" s="1"/>
  <c r="K62" i="1"/>
  <c r="K64" i="1" s="1"/>
  <c r="U208" i="6"/>
  <c r="V56" i="1" l="1"/>
  <c r="V149" i="9"/>
  <c r="V40" i="8"/>
  <c r="V52" i="8" s="1"/>
  <c r="V63" i="8" s="1"/>
  <c r="U52" i="8"/>
  <c r="U63" i="8" s="1"/>
  <c r="U9" i="1"/>
  <c r="T44" i="1"/>
  <c r="T112" i="7"/>
  <c r="U112" i="7" s="1"/>
  <c r="V112" i="7" s="1"/>
  <c r="U111" i="7"/>
  <c r="V208" i="6"/>
  <c r="X209" i="6"/>
  <c r="P147" i="9"/>
  <c r="N59" i="1"/>
  <c r="T59" i="1"/>
  <c r="U59" i="1" s="1"/>
  <c r="U147" i="9"/>
  <c r="S64" i="1"/>
  <c r="T113" i="7" l="1"/>
  <c r="T55" i="1" s="1"/>
  <c r="V9" i="1"/>
  <c r="U44" i="1"/>
  <c r="P59" i="1"/>
  <c r="V59" i="1" s="1"/>
  <c r="N62" i="1"/>
  <c r="V111" i="7"/>
  <c r="U113" i="7"/>
  <c r="P62" i="1" l="1"/>
  <c r="N64" i="1"/>
  <c r="P64" i="1" s="1"/>
  <c r="V44" i="1"/>
  <c r="X115" i="7"/>
  <c r="V113" i="7"/>
  <c r="T62" i="1"/>
  <c r="T64" i="1" s="1"/>
  <c r="U55" i="1"/>
  <c r="V55" i="1" l="1"/>
  <c r="U62" i="1"/>
  <c r="V62" i="1" l="1"/>
  <c r="V64" i="1" s="1"/>
  <c r="U64" i="1"/>
  <c r="F16" i="4" l="1"/>
  <c r="F19" i="5"/>
  <c r="F81" i="9"/>
  <c r="F82" i="9" s="1"/>
  <c r="F56" i="7"/>
  <c r="F33" i="5"/>
  <c r="F48" i="9"/>
  <c r="F48" i="5"/>
  <c r="F51" i="8"/>
  <c r="F52" i="8" s="1"/>
  <c r="F72" i="9"/>
  <c r="F74" i="9" s="1"/>
  <c r="F145" i="9"/>
  <c r="F146" i="9" s="1"/>
  <c r="F147" i="9" s="1"/>
  <c r="F59" i="1" s="1"/>
  <c r="F161" i="6"/>
  <c r="F162" i="6" s="1"/>
  <c r="F55" i="5"/>
  <c r="F77" i="7"/>
  <c r="F78" i="7" s="1"/>
  <c r="F25" i="8"/>
  <c r="F28" i="8" s="1"/>
  <c r="F99" i="9"/>
  <c r="F100" i="9" s="1"/>
  <c r="F31" i="2"/>
  <c r="F20" i="9"/>
  <c r="F23" i="9" s="1"/>
  <c r="F64" i="9"/>
  <c r="F67" i="9" s="1"/>
  <c r="F142" i="6"/>
  <c r="F104" i="3"/>
  <c r="F44" i="3"/>
  <c r="F54" i="7"/>
  <c r="F118" i="3"/>
  <c r="F120" i="3" s="1"/>
  <c r="F60" i="8"/>
  <c r="F61" i="8" s="1"/>
  <c r="F49" i="9"/>
  <c r="F169" i="6"/>
  <c r="F12" i="7"/>
  <c r="F56" i="5" l="1"/>
  <c r="G55" i="5"/>
  <c r="F49" i="5"/>
  <c r="G48" i="5"/>
  <c r="F144" i="6"/>
  <c r="G142" i="6"/>
  <c r="G104" i="3"/>
  <c r="F105" i="3"/>
  <c r="G33" i="5"/>
  <c r="F34" i="5"/>
  <c r="F20" i="5"/>
  <c r="G19" i="5"/>
  <c r="F170" i="6"/>
  <c r="G169" i="6"/>
  <c r="F32" i="2"/>
  <c r="F50" i="1" s="1"/>
  <c r="G31" i="2"/>
  <c r="F51" i="9"/>
  <c r="F53" i="9" s="1"/>
  <c r="F149" i="9" s="1"/>
  <c r="G12" i="7"/>
  <c r="F13" i="7"/>
  <c r="F113" i="7" s="1"/>
  <c r="F115" i="7"/>
  <c r="F63" i="8"/>
  <c r="F20" i="4"/>
  <c r="F52" i="1" s="1"/>
  <c r="G16" i="4"/>
  <c r="F58" i="7"/>
  <c r="H54" i="7"/>
  <c r="G44" i="3"/>
  <c r="F45" i="3"/>
  <c r="F122" i="3" s="1"/>
  <c r="F125" i="3"/>
  <c r="G20" i="4" l="1"/>
  <c r="G52" i="1" s="1"/>
  <c r="W16" i="4"/>
  <c r="W20" i="4" s="1"/>
  <c r="W52" i="1" s="1"/>
  <c r="W104" i="3"/>
  <c r="G105" i="3"/>
  <c r="G170" i="6"/>
  <c r="W170" i="6" s="1"/>
  <c r="W169" i="6"/>
  <c r="G144" i="6"/>
  <c r="W142" i="6"/>
  <c r="F208" i="6"/>
  <c r="W19" i="5"/>
  <c r="G20" i="5"/>
  <c r="W20" i="5" s="1"/>
  <c r="G49" i="5"/>
  <c r="W49" i="5" s="1"/>
  <c r="W48" i="5"/>
  <c r="G45" i="3"/>
  <c r="W45" i="3" s="1"/>
  <c r="W44" i="3"/>
  <c r="G13" i="7"/>
  <c r="G113" i="7" s="1"/>
  <c r="W12" i="7"/>
  <c r="W13" i="7" s="1"/>
  <c r="W55" i="5"/>
  <c r="G56" i="5"/>
  <c r="G34" i="5"/>
  <c r="W34" i="5" s="1"/>
  <c r="W33" i="5"/>
  <c r="F58" i="5"/>
  <c r="F53" i="1" s="1"/>
  <c r="G32" i="2"/>
  <c r="W31" i="2"/>
  <c r="W32" i="2" s="1"/>
  <c r="W50" i="1" s="1"/>
  <c r="W144" i="6" l="1"/>
  <c r="G208" i="6"/>
  <c r="G50" i="1"/>
  <c r="W37" i="2"/>
  <c r="W38" i="2" s="1"/>
  <c r="G58" i="5"/>
  <c r="W56" i="5"/>
  <c r="W105" i="3"/>
  <c r="W122" i="3" s="1"/>
  <c r="W51" i="1" s="1"/>
  <c r="G122" i="3"/>
  <c r="G55" i="1"/>
  <c r="F55" i="1"/>
  <c r="W113" i="7"/>
  <c r="W55" i="1" s="1"/>
  <c r="G51" i="1" l="1"/>
  <c r="F51" i="1"/>
  <c r="F62" i="1" s="1"/>
  <c r="F64" i="1" s="1"/>
  <c r="G53" i="1"/>
  <c r="W58" i="5"/>
  <c r="W53" i="1" s="1"/>
  <c r="W208" i="6"/>
  <c r="W54" i="1" s="1"/>
  <c r="W62" i="1" s="1"/>
  <c r="W64" i="1" s="1"/>
  <c r="G54" i="1"/>
  <c r="G62" i="1" s="1"/>
  <c r="G64" i="1" s="1"/>
  <c r="F54" i="1"/>
</calcChain>
</file>

<file path=xl/sharedStrings.xml><?xml version="1.0" encoding="utf-8"?>
<sst xmlns="http://schemas.openxmlformats.org/spreadsheetml/2006/main" count="1739" uniqueCount="1168">
  <si>
    <t>EC BUDGET Adopted 2022 and Draft 2023/2024</t>
  </si>
  <si>
    <t>Title change</t>
  </si>
  <si>
    <t>Needs further explanation / exploration</t>
  </si>
  <si>
    <t>SUMMARY</t>
  </si>
  <si>
    <t>New since 10052021</t>
  </si>
  <si>
    <t>LINE NO. 2019-2021</t>
  </si>
  <si>
    <t>DESCRIPTION</t>
  </si>
  <si>
    <t>GC Adopted Budget Triennium 16-18</t>
  </si>
  <si>
    <t>GC Adopted Budget 2019-2021</t>
  </si>
  <si>
    <t>2019 actual</t>
  </si>
  <si>
    <t>2020 approved Oct 2019</t>
  </si>
  <si>
    <t>2020 EC Adopted 07222020</t>
  </si>
  <si>
    <t>Comment</t>
  </si>
  <si>
    <t>Reserve for GC fees and expenses</t>
  </si>
  <si>
    <t>All other income and expenses for 2021</t>
  </si>
  <si>
    <t>2021 Adopted</t>
  </si>
  <si>
    <t>GC fees and expenses</t>
  </si>
  <si>
    <t>All other income and expenses for 2022</t>
  </si>
  <si>
    <t>2022 Proposed</t>
  </si>
  <si>
    <t>Special Comments for 2022                                                                     (Base salary increases 3% pa; medical cost increases 4% pa)</t>
  </si>
  <si>
    <t>2022 Adopted Total</t>
  </si>
  <si>
    <t>All other income and expenses for 2023</t>
  </si>
  <si>
    <t>GC81 fees and expenses</t>
  </si>
  <si>
    <t>All other income and expenses for 2024</t>
  </si>
  <si>
    <t>2024 Proposed Total</t>
  </si>
  <si>
    <t>2023-2024 Proposed Total 01/22/2022</t>
  </si>
  <si>
    <t>2022-2024 Comparison Total</t>
  </si>
  <si>
    <t>2019-2021            Adopted 10/12/2020</t>
  </si>
  <si>
    <t>Additional comments 01/22/2022 version</t>
  </si>
  <si>
    <t>Special Comments for 2023-2024                                                                     (Base salary increases 3% pa; medical cost increases 9% pa)</t>
  </si>
  <si>
    <t>2023-2024 Proposed Total 01/13/2022</t>
  </si>
  <si>
    <t>Revised Estimate 2019-2021 February 2019</t>
  </si>
  <si>
    <t>2023-2024 Proposed Total on 1/04/2022</t>
  </si>
  <si>
    <t>INCOME</t>
  </si>
  <si>
    <t>Diocesan Commitments</t>
  </si>
  <si>
    <t xml:space="preserve">Full participation at 15%; annual operating income decline at 1.0%; assessment exemption at $140K annually.  NOTE: Every 1% change equals $300K </t>
  </si>
  <si>
    <t xml:space="preserve">Diocesan operating income up 1% in each of 2023 2024; maintain 15% assessment; raise exemption from $140K to $200K </t>
  </si>
  <si>
    <t>Diocesan expected waivers</t>
  </si>
  <si>
    <t>$1.1 mil already approved.  See bottom line 701</t>
  </si>
  <si>
    <t>Available for full or partial waivers; based on 2021 actuals.  NOTE: Every 1% change equals $16K</t>
  </si>
  <si>
    <t>Re-estimated</t>
  </si>
  <si>
    <t>4a</t>
  </si>
  <si>
    <t>Additional waiver relief for dioceses</t>
  </si>
  <si>
    <t>Income from Unrestricted Assets for General budget</t>
  </si>
  <si>
    <t>Dividend income established end of 2018</t>
  </si>
  <si>
    <t>5% draw</t>
  </si>
  <si>
    <t>8% returns in 2021 and 2022; 5% draw</t>
  </si>
  <si>
    <t>Income from Outside trusts where DFMS is beneficiary</t>
  </si>
  <si>
    <t>Income from non-DFMS trusts; previously included in line 5 above</t>
  </si>
  <si>
    <t>Economic Justice Loan income</t>
  </si>
  <si>
    <t>Slow payment deferred until 2021; not eliminated</t>
  </si>
  <si>
    <t>Lower interest rates on loans made to community development organizations</t>
  </si>
  <si>
    <t>EMM Non-Govt Fundraising</t>
  </si>
  <si>
    <t>Donor cultivation continues</t>
  </si>
  <si>
    <t>Annual Appeal  Campaign</t>
  </si>
  <si>
    <t>Realized income has grown annually during the triennium</t>
  </si>
  <si>
    <t>Increase based on successes in 2018-2021</t>
  </si>
  <si>
    <t xml:space="preserve">Income from Unrestricted Assets to support the Development Office </t>
  </si>
  <si>
    <t>11a</t>
  </si>
  <si>
    <t>Short-term reserves for Racial Reconciliation</t>
  </si>
  <si>
    <t>Using the reserves reduces the potential shortfall</t>
  </si>
  <si>
    <t>Reserves only for 2019-2021</t>
  </si>
  <si>
    <t>Unused funds from 2015-2018 trienium</t>
  </si>
  <si>
    <t>11b</t>
  </si>
  <si>
    <t>INTENTIONALLY BLANK</t>
  </si>
  <si>
    <t>11c</t>
  </si>
  <si>
    <t>Portion of 2019-2021 budgetary surplus from Short-term reserves</t>
  </si>
  <si>
    <t>Consistent with directives of FFM-078 June 2017</t>
  </si>
  <si>
    <t>11d</t>
  </si>
  <si>
    <t>Net cost of GC80 from Short-term reserves/Cash</t>
  </si>
  <si>
    <t>Savings from not having GC in 2021</t>
  </si>
  <si>
    <t>Unrestricted reserves for additional Evangelism initatives</t>
  </si>
  <si>
    <t>13a</t>
  </si>
  <si>
    <t>13b</t>
  </si>
  <si>
    <t>Restricted reserves for pension improvements</t>
  </si>
  <si>
    <t>Only for 2019-2021</t>
  </si>
  <si>
    <t>Rental Base Income (incl CUAC, ERD, NAES)</t>
  </si>
  <si>
    <t>Includes additional rent for utilities/services; notional rent granted to ERD</t>
  </si>
  <si>
    <t>Program and Event Related Fees:</t>
  </si>
  <si>
    <t>General Convention Income</t>
  </si>
  <si>
    <t>Offsets costs at line 539</t>
  </si>
  <si>
    <t>Multimedia Services Income</t>
  </si>
  <si>
    <t>Base churchwide work currently precludes additional work</t>
  </si>
  <si>
    <t>Episcopal Digital Network Income</t>
  </si>
  <si>
    <t>"Sponsorship" income.  Increase based on run rate in 2021</t>
  </si>
  <si>
    <t>Program was closed in 2016</t>
  </si>
  <si>
    <t>Refugee Loan Collection Income</t>
  </si>
  <si>
    <t>No decline in early 2020</t>
  </si>
  <si>
    <t>Decrease due to sharp immigration quotas in prior years; and pandemic unemployment.  See costs in line 459</t>
  </si>
  <si>
    <t>Increases expected as admited refugees increases; could be higher</t>
  </si>
  <si>
    <t>Mission Technology Income</t>
  </si>
  <si>
    <t>Charges to affiliates and tenants</t>
  </si>
  <si>
    <t>Facilities Management Income</t>
  </si>
  <si>
    <t>Tenants continuing to use services</t>
  </si>
  <si>
    <t>Total Program and Event Fees</t>
  </si>
  <si>
    <t>Sum of lines 15-25</t>
  </si>
  <si>
    <t>28a</t>
  </si>
  <si>
    <t>PPP loan forgiven in 2021</t>
  </si>
  <si>
    <t>28b</t>
  </si>
  <si>
    <t>Other Income</t>
  </si>
  <si>
    <t>Fees for program event costs; not predictable</t>
  </si>
  <si>
    <t>House of Bishops reimbursements</t>
  </si>
  <si>
    <t>Diocesan shared costs of HOB meetings; previously included in line 189</t>
  </si>
  <si>
    <t>Episcopal Youth Event fees receivable</t>
  </si>
  <si>
    <t xml:space="preserve">Income was budgeted in 2019; expenses in 2020.  </t>
  </si>
  <si>
    <t>Associated costs line 361</t>
  </si>
  <si>
    <t>Registration fees</t>
  </si>
  <si>
    <t>General Board of Exam. Chaplains</t>
  </si>
  <si>
    <t>Fee income for General Ordination exams; 176 @ $750</t>
  </si>
  <si>
    <t>TOTAL INCOME</t>
  </si>
  <si>
    <t>LINE NO.</t>
  </si>
  <si>
    <t xml:space="preserve">GC Adopted Budget
Triennium 16-18
</t>
  </si>
  <si>
    <t>2021 best guess Sept 2019</t>
  </si>
  <si>
    <t>Change Oct 2019 vs. Oct 2018</t>
  </si>
  <si>
    <t>Special Comments for 2019-2021                                                                      (Base salary increases 3% pa; medical cost increases 9% pa; 3% increase in employer contribution to lay pernsion plan effective July 2019)</t>
  </si>
  <si>
    <t>EXPENSES</t>
  </si>
  <si>
    <t>35-65</t>
  </si>
  <si>
    <t>Evangelism</t>
  </si>
  <si>
    <t>66-162</t>
  </si>
  <si>
    <t>Reconciliation &amp; Justice</t>
  </si>
  <si>
    <t>163-174</t>
  </si>
  <si>
    <t>Creation Care</t>
  </si>
  <si>
    <t>175-218</t>
  </si>
  <si>
    <t>PB Ministry</t>
  </si>
  <si>
    <t>219-410</t>
  </si>
  <si>
    <t>Mission Within the Episcopal Church</t>
  </si>
  <si>
    <t>411-511</t>
  </si>
  <si>
    <t>Mission Beyond the Episcopal Church</t>
  </si>
  <si>
    <t>512-</t>
  </si>
  <si>
    <t>Governance</t>
  </si>
  <si>
    <t>568-611</t>
  </si>
  <si>
    <t>Finance and Development</t>
  </si>
  <si>
    <t>612-623</t>
  </si>
  <si>
    <t>Legal</t>
  </si>
  <si>
    <t>624-695</t>
  </si>
  <si>
    <t>Operations (HR, IT, Facilities, Purchasing)</t>
  </si>
  <si>
    <t>Adjustments in Finance, Legal, Operations to balance budget</t>
  </si>
  <si>
    <t>Undetermined GC (2022) Resolutions</t>
  </si>
  <si>
    <t>TOTAL EXPENSES</t>
  </si>
  <si>
    <t>SURPLUS/(DEFICIT)</t>
  </si>
  <si>
    <t>DETAIL: EVANGELISM</t>
  </si>
  <si>
    <t>GC2021 Expenses included in Oct 2020 budget</t>
  </si>
  <si>
    <t>All non-GC expenses for 2021</t>
  </si>
  <si>
    <t>GC80 fees and expenses</t>
  </si>
  <si>
    <t>2022 Proposed Total</t>
  </si>
  <si>
    <t>Special Comments for 2022                                                                    (Base salary increases 3% pa; medical cost increases 4% pa)</t>
  </si>
  <si>
    <t>All income and expenses for 2023</t>
  </si>
  <si>
    <t>GC81 2024 fees and expenses</t>
  </si>
  <si>
    <t>2022-2024 Comparison</t>
  </si>
  <si>
    <t>Revised Estimate 2019-2021        February 2019</t>
  </si>
  <si>
    <t>Starting New Congregations</t>
  </si>
  <si>
    <t>Mission Enterprise Zones and New Church Start Grants</t>
  </si>
  <si>
    <t>35% reduction. $242,000 allocated at Feb Exec Co meeting. If follow policy of no additional grants for 2020, would realize additional $300,000 in savings.</t>
  </si>
  <si>
    <t>Church Plant Grants, reduced if only 2nd and 3rd installments in 2022</t>
  </si>
  <si>
    <t>Congregational Redevelopment</t>
  </si>
  <si>
    <t>Look at what 2nd and 3rd tranch commitments are</t>
  </si>
  <si>
    <t xml:space="preserve">Redevelopment program and resources </t>
  </si>
  <si>
    <t>Evangelism Initiatives</t>
  </si>
  <si>
    <t>Miscellaneous</t>
  </si>
  <si>
    <t>Church Planting Training &amp; Resources</t>
  </si>
  <si>
    <t>Training, discernment, and support for church planters, including seminary courses and regional tranings</t>
  </si>
  <si>
    <t>Program, travel, office - Church Planting and Redevelopment Staff</t>
  </si>
  <si>
    <t>Manager and staff officer share line for program, travel and equipment</t>
  </si>
  <si>
    <t>44-51</t>
  </si>
  <si>
    <t>Intentionally left blank</t>
  </si>
  <si>
    <t xml:space="preserve"> Evangelists’ Summit and Networks</t>
  </si>
  <si>
    <t>Evangelism Matters/Rooted in Jesus event in Jan.</t>
  </si>
  <si>
    <t>Incl. Good News Gardens events, Evangelism Matters annual evangelists gathering, grant networking</t>
  </si>
  <si>
    <r>
      <t xml:space="preserve">Incl. Good News Gardens events, Evangelism Matters annual evangelists gathering, </t>
    </r>
    <r>
      <rPr>
        <sz val="12"/>
        <color rgb="FFFF0000"/>
        <rFont val="Calibri"/>
        <family val="2"/>
        <scheme val="minor"/>
      </rPr>
      <t>grantee</t>
    </r>
    <r>
      <rPr>
        <sz val="12"/>
        <color theme="1"/>
        <rFont val="Calibri"/>
        <family val="2"/>
        <scheme val="minor"/>
      </rPr>
      <t xml:space="preserve"> networking</t>
    </r>
  </si>
  <si>
    <t>Evangelism Resources</t>
  </si>
  <si>
    <t>Used for Embracing Evangelism video series</t>
  </si>
  <si>
    <t>Creation and translation of resources</t>
  </si>
  <si>
    <t>Episcopal Revivals</t>
  </si>
  <si>
    <t>20% reduction (2 revivals in January, contract w/ NYC revival event producer)</t>
  </si>
  <si>
    <t>Hybrid lower cost</t>
  </si>
  <si>
    <t>4 revivals/year w/ PB Curry; major revival at GC81</t>
  </si>
  <si>
    <t>Program, travel, office - Evangelism Staff</t>
  </si>
  <si>
    <t>staff to check for further reductions</t>
  </si>
  <si>
    <t>Canon, staff officer, admin associate travel, equip, program</t>
  </si>
  <si>
    <t>Officer, canon, associate travel, program, equipment</t>
  </si>
  <si>
    <t>Evangelism Grants Program</t>
  </si>
  <si>
    <t>Granted at February Exec Council meeting (committee voted to distribute half of $125,000 total grant funding. 1 more cycle in triennium, could be reduced.)SPENT</t>
  </si>
  <si>
    <t>Grants</t>
  </si>
  <si>
    <t>Committee on MW recommends increasing evangelism grant program given success in 2019-2021 triennium.</t>
  </si>
  <si>
    <t>Way of Love Curriculum, Resources, Events (formerly Evangelistic Work)</t>
  </si>
  <si>
    <t>Way of Love - SWOL funds end after 1st quarter</t>
  </si>
  <si>
    <t>Way of Love curricula, resources, app, events - not included in 2019-21 budget</t>
  </si>
  <si>
    <t>57b</t>
  </si>
  <si>
    <t>Reserve for GC</t>
  </si>
  <si>
    <t>61b</t>
  </si>
  <si>
    <t>Staff Costs</t>
  </si>
  <si>
    <t>Associate position moved back from previous shift to PBO line 186 for 5 months</t>
  </si>
  <si>
    <t>Associate position moved back from previous shift to PBO</t>
  </si>
  <si>
    <t>Evangelism Total</t>
  </si>
  <si>
    <t>622c</t>
  </si>
  <si>
    <t>GC accrual</t>
  </si>
  <si>
    <t>3 staff moved to Racial Reconciliation</t>
  </si>
  <si>
    <t>DETAIL: RECONCILIATION AND JUSTICE</t>
  </si>
  <si>
    <t>Poverty and Social Justice</t>
  </si>
  <si>
    <t>Asset Based Community Development Training (ABCD)</t>
  </si>
  <si>
    <t xml:space="preserve">prior commitment to creating online ABCD training, but otherwise no events in 2020 </t>
  </si>
  <si>
    <t>Shared with ERD - more hybrid trainings</t>
  </si>
  <si>
    <t>Internships</t>
  </si>
  <si>
    <t>Jubilee and Justice Ministry Grants</t>
  </si>
  <si>
    <t>35% reduction; Jubilee Ministries key to COVID response????</t>
  </si>
  <si>
    <t>Poverty and social justice network, inc. Jubilee</t>
  </si>
  <si>
    <t>Slightly reduced from previous triennium</t>
  </si>
  <si>
    <t>Jubilee and Justice Ministry Training and Network</t>
  </si>
  <si>
    <t>60% reduction</t>
  </si>
  <si>
    <t>Program, travel and office - Poverty and Justice Staff</t>
  </si>
  <si>
    <t>nearly 50% reduction  -  staff to check for further reductions</t>
  </si>
  <si>
    <t>Justice Leaders Retreats</t>
  </si>
  <si>
    <t>previously committed</t>
  </si>
  <si>
    <t>Social justice resources and webinars</t>
  </si>
  <si>
    <t xml:space="preserve">One retreat for protest/movement chaplains per year, plus resources </t>
  </si>
  <si>
    <t>80b</t>
  </si>
  <si>
    <t>Event on Human Trafficking</t>
  </si>
  <si>
    <t>Total Poverty &amp; Social Justice</t>
  </si>
  <si>
    <t>Racial Justice and Reconciliation</t>
  </si>
  <si>
    <t xml:space="preserve">$350,000 approved at end of 2019; group planned to distribute another $150,000 in grants and host a $50,000 conference in 2020. </t>
  </si>
  <si>
    <t>Grants (e.g., rapid response)</t>
  </si>
  <si>
    <t>Broken down into lines 85 and 86</t>
  </si>
  <si>
    <t xml:space="preserve">Becoming Beloved Community Grants  </t>
  </si>
  <si>
    <t>BBC Grants and Summit, if continued at rate from prior triennium</t>
  </si>
  <si>
    <t>Becoming Beloved Community Summit and Networks</t>
  </si>
  <si>
    <t>Racial Justice Audit</t>
  </si>
  <si>
    <t>Already committed</t>
  </si>
  <si>
    <t>Mission Institute audit contract</t>
  </si>
  <si>
    <t xml:space="preserve">Ongoing audit trainings and updated audit for GC2024 </t>
  </si>
  <si>
    <t>Sacred  Ground</t>
  </si>
  <si>
    <t>Katrina Browne consulting (now reduced), plus events already hosted</t>
  </si>
  <si>
    <t>Sacred Ground consultant, support for webinars, facilitators, licensing</t>
  </si>
  <si>
    <t>expanding program - inc. for youth and people of color - will require expanded support</t>
  </si>
  <si>
    <t>88b</t>
  </si>
  <si>
    <t xml:space="preserve">Truth and Reconciliation </t>
  </si>
  <si>
    <t>event-based work now moved online; support for storysharing efforts around COVID-19 and race</t>
  </si>
  <si>
    <t>Line funds basic infrastructure for supporting truthtelling/storytelling ministries and campaign.</t>
  </si>
  <si>
    <t>Dismantling Racism Formation and Training</t>
  </si>
  <si>
    <t>Absalom Jones Center contract.</t>
  </si>
  <si>
    <t>MOU with Absalom Jones Center</t>
  </si>
  <si>
    <t xml:space="preserve">Racial Reconciliation and Justice Resources </t>
  </si>
  <si>
    <t>small amount cannot be further reduced</t>
  </si>
  <si>
    <t>Anti-racism/dismantling racism training support</t>
  </si>
  <si>
    <t>Resources, social media, enewsletter, translation</t>
  </si>
  <si>
    <t>Young Adult Pilgrimage</t>
  </si>
  <si>
    <t>support for developing online pilgrimage platforms, in absence of physical travel</t>
  </si>
  <si>
    <t>Program, travel and office - Racial Reconciliation Staff</t>
  </si>
  <si>
    <t>47% reduction in travel and program - staff to check for further reductions</t>
  </si>
  <si>
    <t>Officer and associate travel and program</t>
  </si>
  <si>
    <t>Intentionally blank</t>
  </si>
  <si>
    <t xml:space="preserve">No additional funding </t>
  </si>
  <si>
    <t>Criminal Justice Ministries</t>
  </si>
  <si>
    <t>$10K committed to consultant; another $10K for responding to racial implications of COVID</t>
  </si>
  <si>
    <t>Racial justice &amp; action working group: network facilitation, gathering, resources</t>
  </si>
  <si>
    <t>Will fund from "Jubilee and Justice" (line 80) and BBC summit and networks (line 86)</t>
  </si>
  <si>
    <t xml:space="preserve">Program travel and office - Canon </t>
  </si>
  <si>
    <t>40% reduction - staff to check for further reductions</t>
  </si>
  <si>
    <t>spreadsheet said $220K approved for 2020, but that must've been a mistake. 0 in this line.</t>
  </si>
  <si>
    <t>99b</t>
  </si>
  <si>
    <t>72% reduction</t>
  </si>
  <si>
    <t>Hiring RR associate rather than officer; continue contracting with high-level consultants - reduces this line by $50,000</t>
  </si>
  <si>
    <t>Racial Justice Total</t>
  </si>
  <si>
    <t>37% reduction</t>
  </si>
  <si>
    <t>Ethnic Ministries:</t>
  </si>
  <si>
    <t>Indigenous Ministries</t>
  </si>
  <si>
    <t xml:space="preserve">Support for Indigenous Theological Education and Training)  </t>
  </si>
  <si>
    <t>2020 program primarily online or funded in other lines</t>
  </si>
  <si>
    <t>Also includes funds for Doctrine of Discovery training</t>
  </si>
  <si>
    <t xml:space="preserve"> Church-wide Indigenous Winter Talk gathering</t>
  </si>
  <si>
    <t>Winter Talk already happened</t>
  </si>
  <si>
    <t>Native Youth Development Project</t>
  </si>
  <si>
    <t>Assessment study for outreach to and networking with Province 9</t>
  </si>
  <si>
    <t>funding for continued network development and outreach</t>
  </si>
  <si>
    <t>Collaborative Projects</t>
  </si>
  <si>
    <t>mostly travel-dependent programs</t>
  </si>
  <si>
    <t>Seminarians of Color, Why Serve, General Convention estimate</t>
  </si>
  <si>
    <r>
      <t xml:space="preserve">Program, office and </t>
    </r>
    <r>
      <rPr>
        <sz val="11"/>
        <rFont val="Calibri"/>
        <family val="2"/>
        <scheme val="minor"/>
      </rPr>
      <t>staff</t>
    </r>
    <r>
      <rPr>
        <sz val="12"/>
        <rFont val="Calibri"/>
        <family val="2"/>
        <scheme val="minor"/>
      </rPr>
      <t xml:space="preserve"> travel</t>
    </r>
  </si>
  <si>
    <t>Includes General Convention estimate</t>
  </si>
  <si>
    <t>two staff officers travel on same line; often travel to remote areas</t>
  </si>
  <si>
    <t>111a</t>
  </si>
  <si>
    <t>Consultants</t>
  </si>
  <si>
    <t>111b</t>
  </si>
  <si>
    <t>Indigenous Ministries Total</t>
  </si>
  <si>
    <t>A large portion of Indigenous Ministries’ budget was spent in January due to WinterTalk, and the remainder of the budget is only $21,541.03. The other 3 missioners agreed to adjust their budgets accordingly.  </t>
  </si>
  <si>
    <t>Asiamerican Ministries</t>
  </si>
  <si>
    <t>Ethnic Convocational Leadership Gatherings</t>
  </si>
  <si>
    <t>Events moved online</t>
  </si>
  <si>
    <t>Ethnic Convocations will be meeting during the EAM Consultation</t>
  </si>
  <si>
    <t>Convocations, including regional AAPI justice engagement</t>
  </si>
  <si>
    <t>Asiamerica &amp; Pacific Islanders Churchwide Consultation</t>
  </si>
  <si>
    <t>The 9 Ethnic Convocations will be meeting during the EAM Consultation.</t>
  </si>
  <si>
    <t>ANDREWS - Asiamerica Mentoring Program</t>
  </si>
  <si>
    <t>online program with curriculum developer and trainer fees</t>
  </si>
  <si>
    <t>ANDREWS will transition to Asiamerica Lay Ministry Institute which will require additional funding.</t>
  </si>
  <si>
    <t xml:space="preserve">Collaborative Projects </t>
  </si>
  <si>
    <t>Program, office and travel</t>
  </si>
  <si>
    <t>120b</t>
  </si>
  <si>
    <t>Episcopal Asia America Ministries Total</t>
  </si>
  <si>
    <t>55% reduction</t>
  </si>
  <si>
    <t>Black Ministries</t>
  </si>
  <si>
    <t>Congregational Programs for Revitalization (CPR) [formerly New Visions]</t>
  </si>
  <si>
    <t>$6,200 expensed as of March 31,</t>
  </si>
  <si>
    <t>Reimagine New Visions Program - Includes Black Congregational Leadership   Collaborative with ECF and support for declining black churches</t>
  </si>
  <si>
    <t>125a</t>
  </si>
  <si>
    <t>Diaspora Clergy &amp; Laity Convocations Gathering</t>
  </si>
  <si>
    <t>Event postponed until September (?) - small gathering</t>
  </si>
  <si>
    <t>2 Diaspora Convocation per year</t>
  </si>
  <si>
    <t>125b</t>
  </si>
  <si>
    <t xml:space="preserve">Visiting Supply Clergy Program to the Dio. Virgin Islands </t>
  </si>
  <si>
    <t>Includes 8 Supply Clergy per Year</t>
  </si>
  <si>
    <t>125c</t>
  </si>
  <si>
    <t xml:space="preserve">New Resources </t>
  </si>
  <si>
    <t>Includes Black Bishops Posters (last update was 2017) &amp; history of Black preachers; contemporary reflections on critical issues in our church and society</t>
  </si>
  <si>
    <t>125d</t>
  </si>
  <si>
    <t>Youth Leadership Academy</t>
  </si>
  <si>
    <t xml:space="preserve">Replaces S.O.U. L. Program </t>
  </si>
  <si>
    <t>125e</t>
  </si>
  <si>
    <t>Clergy &amp; Lay Leadership Discernment Academy</t>
  </si>
  <si>
    <t>Discernment - Executive Leadership Opportunities Churchwide (focusing on inclusion &amp; equity)</t>
  </si>
  <si>
    <t>126a</t>
  </si>
  <si>
    <t xml:space="preserve">Coaching and Mentoring </t>
  </si>
  <si>
    <t>Event Cancelled</t>
  </si>
  <si>
    <t>Training Cost for Holmes Coaching &amp; Thriving in Ministry Collaborative with VTS - 6 per year</t>
  </si>
  <si>
    <t>126b</t>
  </si>
  <si>
    <t>Healing from Internalized Oppression</t>
  </si>
  <si>
    <t>OBM Signature Training program 4 trainings per year</t>
  </si>
  <si>
    <t>127a</t>
  </si>
  <si>
    <r>
      <t xml:space="preserve">International Black Clergy </t>
    </r>
    <r>
      <rPr>
        <sz val="11"/>
        <rFont val="Calibri"/>
        <family val="2"/>
        <scheme val="minor"/>
      </rPr>
      <t>&amp; Laity</t>
    </r>
    <r>
      <rPr>
        <sz val="12"/>
        <rFont val="Calibri"/>
        <family val="2"/>
        <scheme val="minor"/>
      </rPr>
      <t xml:space="preserve"> Conference</t>
    </r>
  </si>
  <si>
    <t>Triennial Event - Virtual Gathering in 2020</t>
  </si>
  <si>
    <t>Triennial Event</t>
  </si>
  <si>
    <t>127b</t>
  </si>
  <si>
    <r>
      <t xml:space="preserve">Historically Black Colleges Recognition </t>
    </r>
    <r>
      <rPr>
        <sz val="11"/>
        <rFont val="Calibri"/>
        <family val="2"/>
        <scheme val="minor"/>
      </rPr>
      <t>&amp; Engagement</t>
    </r>
    <r>
      <rPr>
        <sz val="12"/>
        <rFont val="Calibri"/>
        <family val="2"/>
        <scheme val="minor"/>
      </rPr>
      <t xml:space="preserve"> Event</t>
    </r>
  </si>
  <si>
    <t>Includes * Annual Programs &amp; Events at St. Augustine &amp; Voorhees</t>
  </si>
  <si>
    <t>Event moved online</t>
  </si>
  <si>
    <t>Explain increase 'Seminarians of Color, Why Serve, General Convention estimate</t>
  </si>
  <si>
    <t>$13,240 expensed as March 31,  Revised budget reflects $12,760 for remainder of the year.  staff to check for further reductions</t>
  </si>
  <si>
    <t>Includes Consultants for Technology Support for OBM Programs</t>
  </si>
  <si>
    <t>$9,830 expensed as March 31 - Revised budget reflects $5,170 for balance of year</t>
  </si>
  <si>
    <t>132a</t>
  </si>
  <si>
    <t>Expensed $930 as March 31</t>
  </si>
  <si>
    <t>132b</t>
  </si>
  <si>
    <t>Black Ministries Total</t>
  </si>
  <si>
    <t>52% reduction - Total Expensed as of March 31 $33,917</t>
  </si>
  <si>
    <t>Hispanic / Latino Ministries</t>
  </si>
  <si>
    <t>Formation Programs &amp; Training (formerly Academia)</t>
  </si>
  <si>
    <t>previously held; also online components</t>
  </si>
  <si>
    <t>Academia, New Camino, ABCD, Cultural Competency Course (ELMC)</t>
  </si>
  <si>
    <t>2023: fundamental update to Academia curriculum</t>
  </si>
  <si>
    <t>New Camino</t>
  </si>
  <si>
    <t>33% reduction; previously held; also online components</t>
  </si>
  <si>
    <t>Now listed under Line 136</t>
  </si>
  <si>
    <t>Social Media/Digital Resources</t>
  </si>
  <si>
    <t>Social Media manager, social media promotion, LatinosEpiscopales, General Convention media</t>
  </si>
  <si>
    <t>ABCD Training (Asset-based Community Development</t>
  </si>
  <si>
    <t>Nuevo Amanecer</t>
  </si>
  <si>
    <t>moved online - 64% reduction</t>
  </si>
  <si>
    <t xml:space="preserve">Cultural Competency </t>
  </si>
  <si>
    <t>60% reduction - mostly travel events</t>
  </si>
  <si>
    <t>Staff Travel &amp; Office Expenses</t>
  </si>
  <si>
    <t>58% reduction - staff to check for further reductions</t>
  </si>
  <si>
    <t>Travel for Missioners, General Convention</t>
  </si>
  <si>
    <t>25% reduction</t>
  </si>
  <si>
    <t>146a</t>
  </si>
  <si>
    <t>Translation/Interpretation</t>
  </si>
  <si>
    <t>146b</t>
  </si>
  <si>
    <t>Hispanic/Latino Ministries Total</t>
  </si>
  <si>
    <t>Ethnic Ministry-Related Social Justice and Advocacy</t>
  </si>
  <si>
    <t>Total Ethnic Ministries</t>
  </si>
  <si>
    <t>17% reduction</t>
  </si>
  <si>
    <t>Historically Black Episcopal Colleges + Universities</t>
  </si>
  <si>
    <t>153a</t>
  </si>
  <si>
    <t>St. Augustine's University</t>
  </si>
  <si>
    <t>HBCU Cte moved that 25% of the grant be used to support the chaplaincy and 75% be used for general purposes of SAU</t>
  </si>
  <si>
    <t>153b</t>
  </si>
  <si>
    <t>Voorhees University</t>
  </si>
  <si>
    <t>HBCU Cte and Voorhees President request that 40% of the grant be used to support the chaplaincy and 60% be used for general purposes of Voorhees</t>
  </si>
  <si>
    <t>Educational Enterprise Grants</t>
  </si>
  <si>
    <t xml:space="preserve">HBCU Cte moved that 25% of the grants be used to support the chaplaincies and 75% be used for general purposes of the institutions  </t>
  </si>
  <si>
    <t>154a</t>
  </si>
  <si>
    <t>St. Augustine Educational Enterprise Grant</t>
  </si>
  <si>
    <t>154b</t>
  </si>
  <si>
    <t>Voorhees Educational Enterprise Grant</t>
  </si>
  <si>
    <t>Intentionally Blank</t>
  </si>
  <si>
    <t>United Thank Offering</t>
  </si>
  <si>
    <t>UTO Other</t>
  </si>
  <si>
    <t>less travel</t>
  </si>
  <si>
    <t>$189,987 – Program Costs (includes $50,000 rolled over for General Convention Costs, $40,000 for</t>
  </si>
  <si>
    <t>157b</t>
  </si>
  <si>
    <t>the distribution center, staff travel/phone/etc.)</t>
  </si>
  <si>
    <t>staff vacancy</t>
  </si>
  <si>
    <t>Less Offset from trust funds</t>
  </si>
  <si>
    <t>Total United Thank Offering</t>
  </si>
  <si>
    <t>Total Racial Justice and Reconciliation</t>
  </si>
  <si>
    <t>DETAIL: CREATION CARE</t>
  </si>
  <si>
    <t>Much in this area supports local creation care initiatives</t>
  </si>
  <si>
    <t>Climate Mitigation Efforts</t>
  </si>
  <si>
    <t>Carbon Tracker/mitigation efforts</t>
  </si>
  <si>
    <t>Carbon tracker and mitigation efforts</t>
  </si>
  <si>
    <t>EcoJustice Fellows Program (formerly EcoJustice site grants)</t>
  </si>
  <si>
    <t>Already disbursed $20K for Asset Map development to track creation justice opportunities. Recommend no other spending from this area.</t>
  </si>
  <si>
    <t>Eco-justice organizing fellows - drive and harness regional youth engagement</t>
  </si>
  <si>
    <t>Creation Care Grants</t>
  </si>
  <si>
    <t>$179,832 approved by EC in Feb 2020. Covered by $118K accrued from 2019 grant allocation. That total was added to the $116K originally budgeted for 2020. If no additional grant cycle in 2020,  savings of $54K.??? Julia</t>
  </si>
  <si>
    <t>Includes grants and storytelling @ GC</t>
  </si>
  <si>
    <t>Creation Care Grants program, admin. by task force</t>
  </si>
  <si>
    <t>Advisory Council meetings</t>
  </si>
  <si>
    <t>April 2020 meeting to occur virtually</t>
  </si>
  <si>
    <t>Meeting after GC</t>
  </si>
  <si>
    <t>Creation Care Networks and Resources</t>
  </si>
  <si>
    <t>Network gatherings and support to occur virtually</t>
  </si>
  <si>
    <t>Network development, covenant engagement, Good News Gardens</t>
  </si>
  <si>
    <t>Other Initiatives</t>
  </si>
  <si>
    <t>Conference of Parties/UN climate work</t>
  </si>
  <si>
    <t>Conference of Parties cancelled for 2020</t>
  </si>
  <si>
    <t>International engagement, inc. COP and UN</t>
  </si>
  <si>
    <t>171a</t>
  </si>
  <si>
    <t>Program, travel, office - Associate, Director, Canon</t>
  </si>
  <si>
    <t>Staff travel and program will be held to 50% of total 2020 allocation - staff to check for further reductions</t>
  </si>
  <si>
    <t>Program associate, director and canon travel, equipment and program</t>
  </si>
  <si>
    <t>Staff costs</t>
  </si>
  <si>
    <t>Program Associate salary adjustment</t>
  </si>
  <si>
    <t>173a</t>
  </si>
  <si>
    <t>Additional Creation Care program</t>
  </si>
  <si>
    <t xml:space="preserve">Exec Council approved $30K in spending at Feb 2020 meeting. Recommend $5,000 for other work in 2020. Also recommend not hiring consultant on carbon offsets for DFMS travel, a task force resolution approved by EC in Feb 2020. </t>
  </si>
  <si>
    <t>173b</t>
  </si>
  <si>
    <t>Office rental</t>
  </si>
  <si>
    <t>Cancel Epiphany office rental for remainder of 2020</t>
  </si>
  <si>
    <t>173c</t>
  </si>
  <si>
    <t>Total Creation Care</t>
  </si>
  <si>
    <t>602b</t>
  </si>
  <si>
    <t>DETAIL: MINISTRY OF PRESIDING BISHOP TO CHURCH AND WORLD</t>
  </si>
  <si>
    <t>Presiding Bishop's Office</t>
  </si>
  <si>
    <t>Governance-Related Costs</t>
  </si>
  <si>
    <t>Reserve for Lambeth; CofA in December??</t>
  </si>
  <si>
    <t>Reserve for Lambeth; Council of Advice</t>
  </si>
  <si>
    <t xml:space="preserve">Title IV Disciplinary Actions relative to Bishops </t>
  </si>
  <si>
    <t>Convocation Episcopal Churches In Europe</t>
  </si>
  <si>
    <t>Bishop in Charge of Europe</t>
  </si>
  <si>
    <t>Housing costs</t>
  </si>
  <si>
    <t>Rent costs partially reimbursed to DFMS by Bishop in Europe</t>
  </si>
  <si>
    <t>Bishop in Charge of Navajoland</t>
  </si>
  <si>
    <t>Hospitality and Entertainment</t>
  </si>
  <si>
    <t>Official &amp; Discretionary Expenses</t>
  </si>
  <si>
    <t>Travel</t>
  </si>
  <si>
    <t xml:space="preserve">This number is unlikely to rise during the remainder of the year.  Includes Travel for all PB Office staff plus occasional staff from all other areas of ministry.  </t>
  </si>
  <si>
    <t>Will increase in 2023 as international and domestic travel increases</t>
  </si>
  <si>
    <t>Haiti Partnership Committee</t>
  </si>
  <si>
    <t>Other departmental costs</t>
  </si>
  <si>
    <t>includes increase for Translation / Interpretation Costs</t>
  </si>
  <si>
    <t>185b</t>
  </si>
  <si>
    <t>Associate position returned to Evangelism for 5 months of 2021</t>
  </si>
  <si>
    <t>Total Presiding Bishop's Office</t>
  </si>
  <si>
    <t>House of Bishops</t>
  </si>
  <si>
    <t>Cancellation of Spring HOB; Camp Allen paid its staff</t>
  </si>
  <si>
    <t>Includes $30,000 for interpretation / translation costs; is offset by income in line 29</t>
  </si>
  <si>
    <t>House of Bishops (including Theology Cte)</t>
  </si>
  <si>
    <t>College for Bishops Grant</t>
  </si>
  <si>
    <t>Total House of Bishops</t>
  </si>
  <si>
    <t>Pastoral Development</t>
  </si>
  <si>
    <t>195a</t>
  </si>
  <si>
    <t>Pastoral Development Other Costs</t>
  </si>
  <si>
    <t>Incliudes limited return to travel; Election Consultants</t>
  </si>
  <si>
    <t>Increase in impending elections and consultations. Annual training of current and new consultants.  Increased requests for consultation for cross-diocesan collaborations, mergers, etc. Increased need for consultants in Title IV matters</t>
  </si>
  <si>
    <t>195b</t>
  </si>
  <si>
    <t>Title IV Training Website (translation)</t>
  </si>
  <si>
    <t>195c</t>
  </si>
  <si>
    <t>Travel GC</t>
  </si>
  <si>
    <t>195d</t>
  </si>
  <si>
    <t>Total Pastoral Development</t>
  </si>
  <si>
    <t>Armed Forces and Federal Ministries</t>
  </si>
  <si>
    <t>Departmental Costs</t>
  </si>
  <si>
    <t>Seminars/Conferences</t>
  </si>
  <si>
    <t>per PBO</t>
  </si>
  <si>
    <t>Moved from two in-person chaplain trainings per year to one; though costs for these event has risen</t>
  </si>
  <si>
    <t>Selection of Chaplains</t>
  </si>
  <si>
    <t>More chaplain applicants are expected as more parishes are unable to support FT clergy</t>
  </si>
  <si>
    <t>Supplies/Services</t>
  </si>
  <si>
    <t>Chaplain Care</t>
  </si>
  <si>
    <t>Travel Bishop Suffragan</t>
  </si>
  <si>
    <t>Increasing air and hotel cost.  Use technology in lieu of face-to-face.  Only applicants for military or VA Hospital Chaplaincies will be invited to come to DC;  all other federal chaplaincies will be virtual interviews</t>
  </si>
  <si>
    <t>Rent</t>
  </si>
  <si>
    <t>Office costs</t>
  </si>
  <si>
    <t>208b</t>
  </si>
  <si>
    <t>Total Federal Ministries</t>
  </si>
  <si>
    <t>GBEC Income</t>
  </si>
  <si>
    <t>GBEC Non-staff</t>
  </si>
  <si>
    <t>Readers' conference preceded Cov-19 shutdown</t>
  </si>
  <si>
    <t>214b</t>
  </si>
  <si>
    <t>GBEC Staff costs</t>
  </si>
  <si>
    <t>GBEC Total</t>
  </si>
  <si>
    <t>Goal to run close to breakeven</t>
  </si>
  <si>
    <t>Offset by income in line 31</t>
  </si>
  <si>
    <t>Total PBO Ministry</t>
  </si>
  <si>
    <t>DETAIL: MISSION WITHIN THE EPISCOPAL CHURCH</t>
  </si>
  <si>
    <t>Communications</t>
  </si>
  <si>
    <t>Director's Office</t>
  </si>
  <si>
    <t>Communication Operations</t>
  </si>
  <si>
    <t>Reserve for GC80</t>
  </si>
  <si>
    <t>Eliminate GC booth in 2024 ($100,000)</t>
  </si>
  <si>
    <t>Freelancers</t>
  </si>
  <si>
    <t>These are really Departmental Expenses.  (travel, phone, postage, etc.)</t>
  </si>
  <si>
    <t>Conferences and Workshops</t>
  </si>
  <si>
    <t>Presiding Bishop's Installation Expenses</t>
  </si>
  <si>
    <t>Memberships and Subscriptions</t>
  </si>
  <si>
    <t>Postage</t>
  </si>
  <si>
    <t>231a</t>
  </si>
  <si>
    <t>General Office Exp.</t>
  </si>
  <si>
    <t>231b</t>
  </si>
  <si>
    <t>Computer/Communications Hardware and Software</t>
  </si>
  <si>
    <t>Director's Office Total</t>
  </si>
  <si>
    <t>Communications Creative Services</t>
  </si>
  <si>
    <t>Brand Strategy Support</t>
  </si>
  <si>
    <t>Will not be used</t>
  </si>
  <si>
    <t>Reduction reflects work not made for GC booth, swag</t>
  </si>
  <si>
    <t>New Media Development</t>
  </si>
  <si>
    <t>Staff to check for further reductions</t>
  </si>
  <si>
    <t>Travel reduced by 10%</t>
  </si>
  <si>
    <t>Reduce travel to 2020 level</t>
  </si>
  <si>
    <t>General Office Expenses</t>
  </si>
  <si>
    <t>Computer Hardware and Software</t>
  </si>
  <si>
    <t>Telephone telecom</t>
  </si>
  <si>
    <t>Communications Creative Services Total</t>
  </si>
  <si>
    <t>Multimedia Services</t>
  </si>
  <si>
    <t>Mike Collins</t>
  </si>
  <si>
    <t>43% reduction  $30K already spent</t>
  </si>
  <si>
    <t>10% increase to reflect catch-up on COVID deferred projects</t>
  </si>
  <si>
    <t>Redirected $35k from line 108, then reduce overall by 10%</t>
  </si>
  <si>
    <t>Reduce video shoots outside of 815 by 15%</t>
  </si>
  <si>
    <t>Conference &amp; Registration Fees</t>
  </si>
  <si>
    <t>Equipment Support</t>
  </si>
  <si>
    <t>Website: Livestreaming</t>
  </si>
  <si>
    <t>Reduce by 50%</t>
  </si>
  <si>
    <t>Memberships &amp; Subscriptions</t>
  </si>
  <si>
    <t>Computer Hardware and software</t>
  </si>
  <si>
    <t>Multimedia Services Total</t>
  </si>
  <si>
    <t>Budget anticipates project work to "catch up" after COVID</t>
  </si>
  <si>
    <t>Public Affairs</t>
  </si>
  <si>
    <t>Copywriter/editor now attend to GC80.</t>
  </si>
  <si>
    <t>Initiatives/Collaboration</t>
  </si>
  <si>
    <t>Will cover external PR firm</t>
  </si>
  <si>
    <t>Est. $3,000 for transition consulting; $10,000 contingency for crisis communications</t>
  </si>
  <si>
    <t>Reduction in PB travel carries through to Public Affairs - staff to check for further reductions</t>
  </si>
  <si>
    <t>Includes PA Officer travel to Lambeth</t>
  </si>
  <si>
    <t>Reduce travel to 2020 (16% reduction)</t>
  </si>
  <si>
    <t>Already spent</t>
  </si>
  <si>
    <t>Add Copywriter/editor to Episcopal Communicators Conference</t>
  </si>
  <si>
    <t>Added Copywriter/editor</t>
  </si>
  <si>
    <t>Public Affairs Total</t>
  </si>
  <si>
    <t>Web &amp; Social Media Services</t>
  </si>
  <si>
    <t>Barry</t>
  </si>
  <si>
    <t>75% reduction - staff to check for further reductions</t>
  </si>
  <si>
    <t>Website Development, Maintenance &amp; Upgrades</t>
  </si>
  <si>
    <t>Duo Consulting work has ended</t>
  </si>
  <si>
    <t>Asset Mapping</t>
  </si>
  <si>
    <t>Computer Software</t>
  </si>
  <si>
    <t>Computer Hardware</t>
  </si>
  <si>
    <t>Web &amp; Social Media Services Total</t>
  </si>
  <si>
    <t>Episcopal News Service</t>
  </si>
  <si>
    <t>General Convention travel and fees</t>
  </si>
  <si>
    <t>Travel Expenses</t>
  </si>
  <si>
    <t xml:space="preserve">Reduce travel </t>
  </si>
  <si>
    <t>Episcopal News Service Total</t>
  </si>
  <si>
    <t>Episcopal Digital Network (Sponsorship)</t>
  </si>
  <si>
    <t>$4,000 already spent - staff to check for further reductions</t>
  </si>
  <si>
    <t>Reduce travel</t>
  </si>
  <si>
    <t>Conferences and Registration Fees</t>
  </si>
  <si>
    <t>Marketing &amp; Advertising</t>
  </si>
  <si>
    <t>Web Hosting</t>
  </si>
  <si>
    <t>Episcopal Digital Network Total</t>
  </si>
  <si>
    <t>Digital Evangelism</t>
  </si>
  <si>
    <t>Training materials and curricula for digital storytellers (A172)</t>
  </si>
  <si>
    <t>Content for download</t>
  </si>
  <si>
    <t>Reflects increased use of studio</t>
  </si>
  <si>
    <t>1 part-time marketing specialist (contractor)</t>
  </si>
  <si>
    <t>Original images and art work</t>
  </si>
  <si>
    <t>Original video</t>
  </si>
  <si>
    <t>Not needed</t>
  </si>
  <si>
    <t>Software platforms</t>
  </si>
  <si>
    <t>Latino and Spanish-speaking digital evangelism efforts</t>
  </si>
  <si>
    <t>Line should be moved to Latino Ministries</t>
  </si>
  <si>
    <t>Advertising</t>
  </si>
  <si>
    <t>Additional initiatives</t>
  </si>
  <si>
    <t>Printing Costs</t>
  </si>
  <si>
    <t>$24,000 already spent - staff to check for further reduction</t>
  </si>
  <si>
    <t>Marketing &amp; Advertising (HubSpot, etc.)</t>
  </si>
  <si>
    <t>Sermons that Work (Eng. Sp)</t>
  </si>
  <si>
    <t>Bulletin Inserts</t>
  </si>
  <si>
    <t>Bible Study: Eng. Spanish</t>
  </si>
  <si>
    <t>Digital Evangelism Total</t>
  </si>
  <si>
    <t>Language (Translation) Services</t>
  </si>
  <si>
    <t>Translation Services</t>
  </si>
  <si>
    <t>Services to be billed to departments.  Dept costs = 75% of line item.</t>
  </si>
  <si>
    <t>Anticipate less face-to-face requirement</t>
  </si>
  <si>
    <t>25% travel reduction - staff to check for further reductions</t>
  </si>
  <si>
    <t>Equipment Purchases</t>
  </si>
  <si>
    <t>Conference and Registration Fees</t>
  </si>
  <si>
    <t>Mobile Communication Devices</t>
  </si>
  <si>
    <t>Language Services Total</t>
  </si>
  <si>
    <t>Defer of Copywriter/Editor position out of Deprtmental Expenses</t>
  </si>
  <si>
    <t xml:space="preserve">Public Affairs assitant returned to full time; added ENS reporter offset by other staff cost reductions and increased sponsorship income (line 18) </t>
  </si>
  <si>
    <t>Eliminated proposed 3rd ENS reporter from 2022/2024 budget</t>
  </si>
  <si>
    <t>Eliminated proposed 3rd ENS reporter from 2022/2024 budget.</t>
  </si>
  <si>
    <t>Communications - to be allocated</t>
  </si>
  <si>
    <t>Total Communications</t>
  </si>
  <si>
    <t>Formation Department</t>
  </si>
  <si>
    <t>INTENTIONALLY LEFT BLANK</t>
  </si>
  <si>
    <t>Departmental Costs:</t>
  </si>
  <si>
    <t>357a</t>
  </si>
  <si>
    <t>Resource Creation, Curriculum and Partnerships</t>
  </si>
  <si>
    <t xml:space="preserve">Reduction in LPTW consultants, scaled back on print materials, some ESC resource funding covered by constable, C014 will not meet in person this year, but will meet online </t>
  </si>
  <si>
    <t>Eliminate GC81 Booth and some staff presence</t>
  </si>
  <si>
    <t>This line shows a $100k decrease reflecting the completion of the Suicide Prevention project associated with 2018-C014 and reduced need for partnership support.</t>
  </si>
  <si>
    <t>357b</t>
  </si>
  <si>
    <t>Safe Church Training</t>
  </si>
  <si>
    <t>Cannot be reduced</t>
  </si>
  <si>
    <t xml:space="preserve">Continued work from GC2018 A048 and A109. This funds the work for The Task Force on Safe Church Trainings and Anti-Harassment.  The Formation Department serves as liaison to the Task Force. This funding will create Spanish Language Safe Church Training and Modules, implement English Train-the-Trainer trainings, establish a Safe Church resource person STAFF?) to help diocese and congregations implement the new trainings and answer questions. </t>
  </si>
  <si>
    <t xml:space="preserve">Continued work from GC2018 A048 and A109. This funds the work for The Task Force on Safe Church Trainings and Anti-Harassment, the Formation Department serves as liaison to the Task Force. This funding will create Spanish Language Safe Church Training and Modules, implement English Train-the-Trainer trainings, establish a Safe Church resource person to help diocese and congregations implement the new trainings and answer questions. </t>
  </si>
  <si>
    <t>Formation Networks and Leadership Development</t>
  </si>
  <si>
    <t>Young Adult and Campus Ministry Grants</t>
  </si>
  <si>
    <t>Costs of this ministry on campus increase each year</t>
  </si>
  <si>
    <t>Needed increase to reflect the increased cost of projects and services the applicants are seeing reflected.</t>
  </si>
  <si>
    <t>Young Adult &amp; Campus Ministry Events and Gatherings</t>
  </si>
  <si>
    <t>Moving the Annual Conference online.  Moving creation YACM discernment curriculum work to 2021.  Add $20K to 2021 if possible.</t>
  </si>
  <si>
    <t xml:space="preserve">Asking same as we asked for last triennium.  Young Adult Festival and the Young Adult and Campus Ministry Leadership Conference in 2022 and 2024 each at $50K </t>
  </si>
  <si>
    <t>361a</t>
  </si>
  <si>
    <t>Youth Events and Gatherings</t>
  </si>
  <si>
    <t>361b</t>
  </si>
  <si>
    <t>Episcopal Youth Event</t>
  </si>
  <si>
    <t>Part is on deposit for next year, with balance to be spent then.  Some funds will be needed in 2021.</t>
  </si>
  <si>
    <t>This is the normal pattern for funding EYE. In 2022 planning team meetings, site visits, etc.  Costs are highest in 2023 EYE year</t>
  </si>
  <si>
    <t>(with $400,000 of revenue from registrations)</t>
  </si>
  <si>
    <t>361c</t>
  </si>
  <si>
    <t>Evento de Jovenes Episcopales</t>
  </si>
  <si>
    <t>Push Expense to FY2021</t>
  </si>
  <si>
    <t>Episcopal Service Corps</t>
  </si>
  <si>
    <t xml:space="preserve">For 2018-2020, $200,000 was for Events and Gatherings. This line is now Episcopal Service Corps to fund ESC leadership development, network development, and gatherings of corps members. </t>
  </si>
  <si>
    <t>Other Departmental Costs</t>
  </si>
  <si>
    <t>Includes cutting travel budget from 55k to 35k - staff to check for further reductions</t>
  </si>
  <si>
    <t xml:space="preserve">Phones, hot spots, shipping/mailing costs, travel, computers, etc. </t>
  </si>
  <si>
    <t>364b</t>
  </si>
  <si>
    <t>Provides an increase for possibly hiring a 1/2 time person while reducing use of consultants, in order to be in compliance with IRS guidelines for determining whether a hire is a consultant or an employee. 
 If 1/2 FTE not permitted, must return $35K to 357b; $10K to 360; $20K to 363</t>
  </si>
  <si>
    <t>Total Formation &amp; Vocation</t>
  </si>
  <si>
    <t>Transition Ministries</t>
  </si>
  <si>
    <t>Program/Tech (Transition Min)</t>
  </si>
  <si>
    <t>Research &amp; Dev (Transition Min)</t>
  </si>
  <si>
    <t>Other OTM office, travel, training</t>
  </si>
  <si>
    <t>371b</t>
  </si>
  <si>
    <t>Total Transition Ministries</t>
  </si>
  <si>
    <t>TEC Block Grants</t>
  </si>
  <si>
    <t>375a</t>
  </si>
  <si>
    <t>Cuba</t>
  </si>
  <si>
    <t>Move to Mission Within</t>
  </si>
  <si>
    <t>Moved from line 429.  Grant in 2019/21 was $350K</t>
  </si>
  <si>
    <t>Haiti</t>
  </si>
  <si>
    <t>Virgin Islands</t>
  </si>
  <si>
    <t>Province 2 Total</t>
  </si>
  <si>
    <t>North Dakota</t>
  </si>
  <si>
    <t>South Dakota</t>
  </si>
  <si>
    <t>Province 6 Total</t>
  </si>
  <si>
    <t>Alaska</t>
  </si>
  <si>
    <t>Navajoland</t>
  </si>
  <si>
    <t>Guam</t>
  </si>
  <si>
    <t>Taiwan</t>
  </si>
  <si>
    <t>Province 8 Total</t>
  </si>
  <si>
    <t>Consultation &amp; Planning Prov IX</t>
  </si>
  <si>
    <t>Implementation of Prov IX self-sustainability plan</t>
  </si>
  <si>
    <t>TBD in consultation with dioceses and EC</t>
  </si>
  <si>
    <t>Unallocated for Task Force and Consultants</t>
  </si>
  <si>
    <t>Colombia</t>
  </si>
  <si>
    <t>Dominican Republic</t>
  </si>
  <si>
    <t>Diocese has substantial investment assets receiving high rates of return</t>
  </si>
  <si>
    <t>Ecuador Central</t>
  </si>
  <si>
    <t>Ecuador Litoral</t>
  </si>
  <si>
    <t>Diocese pays full assessment and is actively engaged across TEC</t>
  </si>
  <si>
    <t>Honduras</t>
  </si>
  <si>
    <t>Venezuela</t>
  </si>
  <si>
    <t>Grants will not be released until financial audits are provided</t>
  </si>
  <si>
    <t>Province 9 Total Block Grants</t>
  </si>
  <si>
    <t>Sustainability grants to US indigenous dioceses</t>
  </si>
  <si>
    <t>TBD in collaboration among 4 Indigenous dioceses</t>
  </si>
  <si>
    <t>Block Grant to ERD</t>
  </si>
  <si>
    <t>Free rent equivalent</t>
  </si>
  <si>
    <t>Total TEC Block Grants</t>
  </si>
  <si>
    <t>Total Mission Within the Episcopal Church</t>
  </si>
  <si>
    <t>DETAIL: MISSION BEYOND THE EPISCOPAL CHURCH</t>
  </si>
  <si>
    <t>Anglican Communion</t>
  </si>
  <si>
    <t>Inter-Anglican Budget/Secretariat</t>
  </si>
  <si>
    <t>International Visitors</t>
  </si>
  <si>
    <t>Cancelling all international visitor support for 2020</t>
  </si>
  <si>
    <t>Other departmental cost</t>
  </si>
  <si>
    <t>cancelling all international travel - staff to check for further reductions</t>
  </si>
  <si>
    <t>Includes travel</t>
  </si>
  <si>
    <t xml:space="preserve">Staff travel for 6 staff members traveling </t>
  </si>
  <si>
    <t>Global Mission Development</t>
  </si>
  <si>
    <t>Promoting relationships and networking with partners across the Anglican Communion using digital technology</t>
  </si>
  <si>
    <t>Promotion and development of global mission; consultations</t>
  </si>
  <si>
    <t>Funds for conferences, online presence, webinars, interpretation and translation</t>
  </si>
  <si>
    <t>415b</t>
  </si>
  <si>
    <t>NOTE: There will be saving here if we do not hire an Africa officer in 2020</t>
  </si>
  <si>
    <t>Includes border and worldwide missionaries</t>
  </si>
  <si>
    <t>Total Anglican Communion</t>
  </si>
  <si>
    <t>Block Grants w/in Anglican Communion</t>
  </si>
  <si>
    <t xml:space="preserve">Maintaining all Block grants </t>
  </si>
  <si>
    <t>Provides support to the Provincial Secretariat</t>
  </si>
  <si>
    <t>Burundi</t>
  </si>
  <si>
    <t>Will be refashioned for 2023-2024</t>
  </si>
  <si>
    <t>Central Africa</t>
  </si>
  <si>
    <t>Congo</t>
  </si>
  <si>
    <t>South Sudan</t>
  </si>
  <si>
    <t>Conf of Angl Prov in Africa (CAPA)</t>
  </si>
  <si>
    <t>African Network Theol Ed (ANITEPAM)</t>
  </si>
  <si>
    <t>Epis Church of Philippines</t>
  </si>
  <si>
    <t>Eliminate support effective 2024</t>
  </si>
  <si>
    <t>Jt Cte Philippines</t>
  </si>
  <si>
    <t>Caribbean</t>
  </si>
  <si>
    <t>Cuba moved to Mission Within Province 2</t>
  </si>
  <si>
    <t>See line 375a</t>
  </si>
  <si>
    <t>Other Angl Communion Costs</t>
  </si>
  <si>
    <t>Brazil Secretariat</t>
  </si>
  <si>
    <t>To be allocated</t>
  </si>
  <si>
    <t>Total Grants w/in Angl Communion</t>
  </si>
  <si>
    <t>Covenants w/in Angl Communion</t>
  </si>
  <si>
    <t>Covenant Long-term Development Fund</t>
  </si>
  <si>
    <t>Support partners to continue or re-start sustainable development initiatives in COVID environment</t>
  </si>
  <si>
    <t>Funds to support covenant and bilateral  partners in their long term sustainability projects</t>
  </si>
  <si>
    <t>IARCA (Central America)</t>
  </si>
  <si>
    <t>Agreed Covenant stepdown</t>
  </si>
  <si>
    <t>Liberia</t>
  </si>
  <si>
    <t>Mexico</t>
  </si>
  <si>
    <t>Covenanted support has ended</t>
  </si>
  <si>
    <t>Covenant Committees</t>
  </si>
  <si>
    <t>Cancelling all committee meetings for the year</t>
  </si>
  <si>
    <t>Eliminate face-to-face meetings</t>
  </si>
  <si>
    <t>Total Covenants Anglican Comm.</t>
  </si>
  <si>
    <t>Total Grants, Covenants w/in Anglican Communion</t>
  </si>
  <si>
    <t>Internat'l Justice &amp; Peacemaking/UN Presence</t>
  </si>
  <si>
    <t>Grants to Partner Organizations</t>
  </si>
  <si>
    <t>Maintaint support for UN partner membership costs</t>
  </si>
  <si>
    <t>Anglican Peace &amp; Justice Network</t>
  </si>
  <si>
    <t>Other departmental Costs</t>
  </si>
  <si>
    <t>Cancelling all UN event funding for the year</t>
  </si>
  <si>
    <t>Cost to support Episcopal Church presence at events such as UNCSW and other UN gatherings</t>
  </si>
  <si>
    <t>Internat'l Justice &amp; Peacemaking Total</t>
  </si>
  <si>
    <t>Refugee Ministry (Non-Government)</t>
  </si>
  <si>
    <t>Departmental Costs Miami</t>
  </si>
  <si>
    <t>Departmental Costs New York</t>
  </si>
  <si>
    <t xml:space="preserve">Eliminate travel and limit printed resource materials - staff to check for further reductions </t>
  </si>
  <si>
    <t>Church engagement; asylum seekers</t>
  </si>
  <si>
    <t>Training platforms (Basecamp, GoToWebinar), resource materials, general office costs, limited travel</t>
  </si>
  <si>
    <t>454b</t>
  </si>
  <si>
    <t>Refugee Non-Govt Staff Cost</t>
  </si>
  <si>
    <t>2.0 FTEs. The amounts in lines 454 and 457 represent the managment of programs not funded by the government, primarily work with asylum seekers. One-third of the budget in 2022 and in the abbreviated 2-year triennium is to be covered with fundraisng by the Office of Development.</t>
  </si>
  <si>
    <t>Refugee Loan Collection Other</t>
  </si>
  <si>
    <t>Refugee Loan Collection Staff Cost</t>
  </si>
  <si>
    <t>Offset by income in line 21</t>
  </si>
  <si>
    <t>Itentioannly left blank</t>
  </si>
  <si>
    <t>n/a</t>
  </si>
  <si>
    <t>Total Refugee Ministry (Non-Government)</t>
  </si>
  <si>
    <t>Missionary Service</t>
  </si>
  <si>
    <t>Appointed Missionaries</t>
  </si>
  <si>
    <t>Volunteers for Mission</t>
  </si>
  <si>
    <t>Young Adult Service Corps</t>
  </si>
  <si>
    <t>AHK will discuss with Copley Robertson</t>
  </si>
  <si>
    <t>Consistent with costs in 2018/2019 pre-COVID.  Staff travel, phone costs, publicity, meeting expenses, mailing, translation, and interpretation as needed.  Anticipate increased travel and travel costs</t>
  </si>
  <si>
    <t>Unlikely to resume full missionary sending until late 2024</t>
  </si>
  <si>
    <t>466c</t>
  </si>
  <si>
    <t>Less Income</t>
  </si>
  <si>
    <t>Reduced asking for YASC down fom $10,000 to $5,000 in allignment with other denominational programs</t>
  </si>
  <si>
    <t>Total Mission Personnel</t>
  </si>
  <si>
    <t>Cancelling YASC for 2020 and no new EVIM for the year</t>
  </si>
  <si>
    <t xml:space="preserve">Office of Government Relations </t>
  </si>
  <si>
    <t>Program work and partnerships</t>
  </si>
  <si>
    <t>All program and office costs, intern stipends, consultants and coalition memberships</t>
  </si>
  <si>
    <t xml:space="preserve">Fixed cost </t>
  </si>
  <si>
    <t>EPPN software and subscriptions</t>
  </si>
  <si>
    <t xml:space="preserve">Fixed cost for EPPN software based on contract with service provider </t>
  </si>
  <si>
    <t>Office expenses, phones, internet, translation</t>
  </si>
  <si>
    <t xml:space="preserve">Fixed costs for office internet and phones </t>
  </si>
  <si>
    <t>Includes funding for translation for OGR materials and webinars</t>
  </si>
  <si>
    <t>Budgeting only $5000 for 5 staff travel for the rest of the year - $10,000 already spent - staff to check for further reductions</t>
  </si>
  <si>
    <t>475b</t>
  </si>
  <si>
    <t>Will be using consultants during 2H2020</t>
  </si>
  <si>
    <t>ECCL</t>
  </si>
  <si>
    <t>OGR Total</t>
  </si>
  <si>
    <t>Ecumenical, Interfaith, Global Relations</t>
  </si>
  <si>
    <t>Anglican Communion Reconciliation and Development Initiatives</t>
  </si>
  <si>
    <t>Under Global Partnerships programming. Cancel all development initiatives for the year.  Amounts  agreed by MissBeyond</t>
  </si>
  <si>
    <t>Provide emergency support for partner Provinces and targeted support for development initiatives, especially in areas not covered by Episcopal Relief and Development</t>
  </si>
  <si>
    <t>Global Networking</t>
  </si>
  <si>
    <t>Under Global Partnerships Programming. Funds already allocated and mostly spent</t>
  </si>
  <si>
    <t>Funds to develop specific online mission presences such as mission mapping, and development of the global mission toolkit</t>
  </si>
  <si>
    <t>Support for Ecumenical Reps</t>
  </si>
  <si>
    <t>Largely travel for meetings</t>
  </si>
  <si>
    <t>Coordinating Committees</t>
  </si>
  <si>
    <t>Interfaith Relations</t>
  </si>
  <si>
    <t>Dialogues</t>
  </si>
  <si>
    <t>Churches Uniting in Christ</t>
  </si>
  <si>
    <t>PB Deputy for Ecumenical Relations</t>
  </si>
  <si>
    <t>WCC Assembly</t>
  </si>
  <si>
    <t>Accrual for meeting in 2021</t>
  </si>
  <si>
    <t>Accrual from 2013/ WCCmeets in 2022/ will need to use accrued amount</t>
  </si>
  <si>
    <t>Figure corrected</t>
  </si>
  <si>
    <t>Saving for WCC  Assembly planned for 2029</t>
  </si>
  <si>
    <t>New projects</t>
  </si>
  <si>
    <t xml:space="preserve">Includes  trainings with Shoulder to Shoulder  ( Faith over Fear) church engagement communications / web work </t>
  </si>
  <si>
    <t>490b</t>
  </si>
  <si>
    <t>Internship</t>
  </si>
  <si>
    <t>Total Ecum., Interf., Global Relations</t>
  </si>
  <si>
    <t>Ecumenical Dues</t>
  </si>
  <si>
    <t>World Council of Churches</t>
  </si>
  <si>
    <t>Already paid</t>
  </si>
  <si>
    <t>National Ministries Unit NCC</t>
  </si>
  <si>
    <t>NCC Ecumenical Commitment Fund</t>
  </si>
  <si>
    <t>Christian Churches Together US</t>
  </si>
  <si>
    <t>Ecumenical bodies on Climate Change</t>
  </si>
  <si>
    <t>Will await engagement for 2021</t>
  </si>
  <si>
    <t>Total Ecumenical Dues</t>
  </si>
  <si>
    <t>Grants in form of Contributed Services Support to Affiliated Organizations</t>
  </si>
  <si>
    <t>Episcopal Relief &amp; Development</t>
  </si>
  <si>
    <t>Anglican UN Office</t>
  </si>
  <si>
    <t>Coll/Universities Angl Communion</t>
  </si>
  <si>
    <t>Episcopal Church Foundation</t>
  </si>
  <si>
    <t>Natl Assoc. Episcopal Schools</t>
  </si>
  <si>
    <t>Ch Periodical Club/BCP Society</t>
  </si>
  <si>
    <t>Total Supp. Affiliated Organizations</t>
  </si>
  <si>
    <t>Less: Offset of Support</t>
  </si>
  <si>
    <t>Total Mission Beyond the Episcopal Church</t>
  </si>
  <si>
    <t>DETAIL: MISSION GOVERNANCE</t>
  </si>
  <si>
    <t>General Convention Office</t>
  </si>
  <si>
    <t>Meeting of the General Convention</t>
  </si>
  <si>
    <t>Deposits for contracts</t>
  </si>
  <si>
    <t>Site inspection for 2027 costs and deposits for 2024.
Includes $225,000 balance from 2020 for the logistics of the 80th GC.  Money was not used as planned due to the postponement of the GC to 2022.</t>
  </si>
  <si>
    <t>Revenue for fees and registration shown in Line 16
Logistical cost to produce GC, includes Official Youth
Presence and GC Children's Program</t>
  </si>
  <si>
    <t>513b</t>
  </si>
  <si>
    <t>Assistance provided to aided Dioceses for registration fees for General Convention</t>
  </si>
  <si>
    <t>Provides funding for registration for one bishop and 2 deputies to the aided dioceses</t>
  </si>
  <si>
    <t>Executive Council</t>
  </si>
  <si>
    <t>Cancelled meeting in Puerto Rico (deposit paid for meeting to be moved to 2022.  Meetings converting to Zoom, less liaison travel.  Staff to check for further savings if fall F2F meetings canceled.</t>
  </si>
  <si>
    <t>Eliminate one face-to-face EC meeting; reduce other F2F in other EC Ctes</t>
  </si>
  <si>
    <t>Three annual meetings of EC, meetings of committees of 
Council, EC Liaison travel and D&amp;O insurance</t>
  </si>
  <si>
    <t>515-518</t>
  </si>
  <si>
    <t>Interim Bodies of the General Convention</t>
  </si>
  <si>
    <t>Cancelled joint meeting in April and other fringe meetings.  Still want to meet F2F in the fall. Staff to check of savings if no  fall F2F</t>
  </si>
  <si>
    <t>Large initial meeting of Interim Bodies face-to-face in fall 2022</t>
  </si>
  <si>
    <t>Support of face to face, hybrid and virtual meetings, 
consultants to support this work</t>
  </si>
  <si>
    <t>Deputies of Color pre-Convention meeting</t>
  </si>
  <si>
    <t>Board to assist Office of Pastoral Development for bishop calling</t>
  </si>
  <si>
    <t>Work on best practices.  GCO to identify potential savings</t>
  </si>
  <si>
    <t>Accrual for PB Nomination, Election, Transition, Installation</t>
  </si>
  <si>
    <t>To cover costs of PB Election, Transition and Installation</t>
  </si>
  <si>
    <t>524-530</t>
  </si>
  <si>
    <t>531a</t>
  </si>
  <si>
    <t>SC SCLM Prayer Book Revision</t>
  </si>
  <si>
    <t>531b</t>
  </si>
  <si>
    <t>Current Prayer Book Translation</t>
  </si>
  <si>
    <t>Consultants under contract for this work, possible saving based on their work</t>
  </si>
  <si>
    <t>Work delayed in 2021</t>
  </si>
  <si>
    <t>Canonical Reporting</t>
  </si>
  <si>
    <t>Plans on hold for the development of programs to support reporting</t>
  </si>
  <si>
    <t>Efficiencies from technology</t>
  </si>
  <si>
    <t>Technology for General Convention Governance</t>
  </si>
  <si>
    <t>Includes unspent balance of $263,500 in 2020 due to timing of projects and deferred GC</t>
  </si>
  <si>
    <t>Note: This number may need to increase should resolution A098 be implemented</t>
  </si>
  <si>
    <t>Translation and Interpretation for Governance</t>
  </si>
  <si>
    <t>Some savings in travel for interpreters to Executive Council and Interim Bodies meetings.  Increase in the needs for  interpretation and translations to support virtual meetings</t>
  </si>
  <si>
    <t xml:space="preserve">Includes unspent balance of $60,000 from 2020 that resulted due to delayed translation of reports </t>
  </si>
  <si>
    <t>More virtual meetings will require more translation and  interpretation</t>
  </si>
  <si>
    <t>Covers Interpretation/Translation needs for all governance lines
Should additional languages be added this may need to go up</t>
  </si>
  <si>
    <t>Research (Parochial and Diocesan Reports)</t>
  </si>
  <si>
    <t>Software systems for database</t>
  </si>
  <si>
    <t>Research Demographic software, FACT membership dues</t>
  </si>
  <si>
    <t>Operation and Other Expenses of the GC Office</t>
  </si>
  <si>
    <t>Less travel - staff to check for further reductions</t>
  </si>
  <si>
    <t>General Office expenses, registrar of General Convention and staff travel</t>
  </si>
  <si>
    <t>Other cost reductions</t>
  </si>
  <si>
    <t>538b</t>
  </si>
  <si>
    <t xml:space="preserve">Reserved for GC </t>
  </si>
  <si>
    <t>Total Office of General Convention</t>
  </si>
  <si>
    <t>Provincial Coordination</t>
  </si>
  <si>
    <t>Support for Provinces I-VIII Coordination</t>
  </si>
  <si>
    <t>Total for 2016-2018 was $135K.  This $5K per annum was to be extended only for 2019-2021.  Provincial Leadership has requested $10K per Province + $5K for translation</t>
  </si>
  <si>
    <t>Provincial Leadership should make request through a resolution of GC</t>
  </si>
  <si>
    <t>Includes $10K is for Interpretation support for meetings (virtual and F2F).  Provincial Leadership requested $10K per annum for each Province</t>
  </si>
  <si>
    <t>Support for Province IX Coordination</t>
  </si>
  <si>
    <t>This was to be extended only for 2019-2021</t>
  </si>
  <si>
    <t>Ongoing support for Province IX coordination</t>
  </si>
  <si>
    <t>Support for Provincial Coordination Total</t>
  </si>
  <si>
    <t>House of Deputies</t>
  </si>
  <si>
    <t>Council of Advice</t>
  </si>
  <si>
    <t xml:space="preserve">Per PHOD, Defer $16,000 to 2021 </t>
  </si>
  <si>
    <t>Three meetings, 10-person council</t>
  </si>
  <si>
    <t>1 of 4 meetings to be virtual</t>
  </si>
  <si>
    <t>Assumes 4 meetings of 10-person council</t>
  </si>
  <si>
    <t>Discretionary Fund</t>
  </si>
  <si>
    <t>550a</t>
  </si>
  <si>
    <t>Chancellor Consulting fees</t>
  </si>
  <si>
    <t>Consulting fee increased by 12% in 2022</t>
  </si>
  <si>
    <t>550b</t>
  </si>
  <si>
    <t>Chancellor expenses</t>
  </si>
  <si>
    <t>Covers Chancellor fees for annual meetings and licenses, subscriptions</t>
  </si>
  <si>
    <t>Chancellor fees for annual meetings and licenses, subscriptions</t>
  </si>
  <si>
    <t>Communications Consultants</t>
  </si>
  <si>
    <t>Original budget incorrect</t>
  </si>
  <si>
    <t>Assumes consulting contracts for 8 months; then work assumed by two staff for 5 months</t>
  </si>
  <si>
    <t>Per PHOD, further travel reductions</t>
  </si>
  <si>
    <t>May need to be adjusted depending on where new PHOD and staff live</t>
  </si>
  <si>
    <t>May need adjustment based on where PHOD resides</t>
  </si>
  <si>
    <t>GC expenses for PHOD</t>
  </si>
  <si>
    <t>554a</t>
  </si>
  <si>
    <t>Phone/Telecom</t>
  </si>
  <si>
    <t>If PHOD staff are not consultants, this figure may be higher</t>
  </si>
  <si>
    <t>May increase if staff are employees, not consultants</t>
  </si>
  <si>
    <t>554b</t>
  </si>
  <si>
    <t>Phone/Telecom PHOD Transition</t>
  </si>
  <si>
    <t>Parliamentarians</t>
  </si>
  <si>
    <t>Might be more savings</t>
  </si>
  <si>
    <t>Annual education, resources, professional licenses; one Boot Camp with 2 parliamentarians in prep for GC</t>
  </si>
  <si>
    <t>Media, ;postage, general expenses</t>
  </si>
  <si>
    <t>556b</t>
  </si>
  <si>
    <t>Reserved for GC</t>
  </si>
  <si>
    <t>556c</t>
  </si>
  <si>
    <t>Other Departmental Costs for PHOD Transition</t>
  </si>
  <si>
    <t>PHOD transition costs</t>
  </si>
  <si>
    <t>Staff Costs including PHOD</t>
  </si>
  <si>
    <t>Assumes 2 support staff; and PHOD position continues to receive directors fees with funding for pension and medical benefits</t>
  </si>
  <si>
    <t>Assumes 2 support staff; and PHOD position continues to receive directors fees plus funding for pension and medical benefits</t>
  </si>
  <si>
    <t>Total House of Deputies</t>
  </si>
  <si>
    <t>Archives</t>
  </si>
  <si>
    <t>Digital Archives/Electronic Records</t>
  </si>
  <si>
    <t xml:space="preserve">Represents 2022 allocation of triennial funding.  (1) Funds were reallocated from Other Costs line and (2) notable increase in cost for data storage and full implementation of the Digital Repository.  </t>
  </si>
  <si>
    <t>Rent and storage</t>
  </si>
  <si>
    <t>This line includes only the off-site storage facilities in Austin ($31K).  Adds $10K in new taxes</t>
  </si>
  <si>
    <t>Recent increases in Austin taxes are being challenged by landlord</t>
  </si>
  <si>
    <t>Other costs</t>
  </si>
  <si>
    <t>If includes travel, staff to check for further reductions</t>
  </si>
  <si>
    <t>Reduced by reallocation to Digital Archives.</t>
  </si>
  <si>
    <t>563b</t>
  </si>
  <si>
    <t>563c</t>
  </si>
  <si>
    <t>Reductions to be determined by Archivist</t>
  </si>
  <si>
    <t>Archives Total</t>
  </si>
  <si>
    <t>Total Governance Expenses</t>
  </si>
  <si>
    <t>DETAIL: MISSION FINANCE LEGAL OPERATIONS</t>
  </si>
  <si>
    <t>Development Office</t>
  </si>
  <si>
    <t>Other Cost</t>
  </si>
  <si>
    <t>Dedicated Work in Haiti</t>
  </si>
  <si>
    <t>Donor Cultivation</t>
  </si>
  <si>
    <t>Presentation Materials, postage, database management</t>
  </si>
  <si>
    <t>Campaign design, printing, acknowledgement</t>
  </si>
  <si>
    <t>Research</t>
  </si>
  <si>
    <t>Donor prospecting, screening; Raisers’ Edge database software; training</t>
  </si>
  <si>
    <t xml:space="preserve">Grant Writing </t>
  </si>
  <si>
    <t>Grant writing being done in-house</t>
  </si>
  <si>
    <t>Production, printing; Foundation relations and research</t>
  </si>
  <si>
    <t>Special Events</t>
  </si>
  <si>
    <t>Receptions; pilgrimages; donor cultivation: up to 5 annually</t>
  </si>
  <si>
    <t>Annual Campaign</t>
  </si>
  <si>
    <t>Annual Campaign for general operations includes $179K of staff  cost involved (as required by GAAP)</t>
  </si>
  <si>
    <t xml:space="preserve">Project Resource </t>
  </si>
  <si>
    <t>DFMS sponsorship eliminated</t>
  </si>
  <si>
    <t>Cuba fundraising</t>
  </si>
  <si>
    <t>Specific need not yet defined</t>
  </si>
  <si>
    <t>Conferences</t>
  </si>
  <si>
    <t>Consortium of Endowed Episcopal Parishes and other conference registration and attendance</t>
  </si>
  <si>
    <t>Technology, equipment</t>
  </si>
  <si>
    <t>Professional development</t>
  </si>
  <si>
    <t xml:space="preserve">Professional development for staff </t>
  </si>
  <si>
    <t>Staff Cost</t>
  </si>
  <si>
    <t>Under direction of CFO</t>
  </si>
  <si>
    <t>Development Office to be allocated</t>
  </si>
  <si>
    <t>583b</t>
  </si>
  <si>
    <t>Total Development Office</t>
  </si>
  <si>
    <t>Finance</t>
  </si>
  <si>
    <t>Controller's Office</t>
  </si>
  <si>
    <t>Audit</t>
  </si>
  <si>
    <t>Includes additional work required by NYC Finance for RE taxes</t>
  </si>
  <si>
    <t>Payroll Management</t>
  </si>
  <si>
    <t>Other non-staff</t>
  </si>
  <si>
    <t>General office expenses and temp staff</t>
  </si>
  <si>
    <t>592b</t>
  </si>
  <si>
    <t>Controller's Office Department Total</t>
  </si>
  <si>
    <t>Treasurer's Office</t>
  </si>
  <si>
    <t>Property, Casualty &amp; Liability insurance</t>
  </si>
  <si>
    <t>Increased premiums for sexual misconduct, professional liability, property and casualty insurance</t>
  </si>
  <si>
    <t>D&amp;O insurance</t>
  </si>
  <si>
    <t>Increased D&amp;O premiums; excludes $75K of costs for EC, Interim Bodies</t>
  </si>
  <si>
    <t>599a</t>
  </si>
  <si>
    <t>Banking Fees</t>
  </si>
  <si>
    <t>599b</t>
  </si>
  <si>
    <t xml:space="preserve">Cancel Concur </t>
  </si>
  <si>
    <t>Adds invoice processing software</t>
  </si>
  <si>
    <t>Telephone &amp; Telecom.</t>
  </si>
  <si>
    <t>Training, State registrations, misc.</t>
  </si>
  <si>
    <t>Consultants (social responsibility); temps</t>
  </si>
  <si>
    <t>Includes Corp Soc. Resp. Investment consultant</t>
  </si>
  <si>
    <t>Treasurer's Office Department Total</t>
  </si>
  <si>
    <t>Increase reflects substantially higher premiums for D&amp;O, property, cyber. and other insurance coverage</t>
  </si>
  <si>
    <t>Debt Service Principal &amp; Interest</t>
  </si>
  <si>
    <t>Uncollateralized long-term borrowing for general purposes.  Principal reduction $1.480 mil annually; fixed interest rate through 2025 at 1.68%.</t>
  </si>
  <si>
    <t>Controller's Office Staff Costs</t>
  </si>
  <si>
    <t>Staff vacancy</t>
  </si>
  <si>
    <t>Treasurer's Office Staff Costs</t>
  </si>
  <si>
    <t>Treas. Recovery from Unrestricted trust reserves</t>
  </si>
  <si>
    <t>Treasury staff work for trust and investment</t>
  </si>
  <si>
    <t>Finance Other Costs</t>
  </si>
  <si>
    <t>Total Finance</t>
  </si>
  <si>
    <t>Miscellaneous Departmental Costs</t>
  </si>
  <si>
    <t>Legal Expense Churchwide Conflict Res.</t>
  </si>
  <si>
    <t>Optimistic prediction of litigation costs; less use of outside counsel.  Likely to rise</t>
  </si>
  <si>
    <t>Includes property actions</t>
  </si>
  <si>
    <t>Chief Legal Officer firm contract</t>
  </si>
  <si>
    <t xml:space="preserve">Interim legal counsel; search consultant.  Likely to rise upon selection of CLO - GO suggests adding 1/4 of former CLO firm fee </t>
  </si>
  <si>
    <t>External specialized counsel</t>
  </si>
  <si>
    <t>New open windows in statutes of limitations have led to new suits; insurance coverage issues requiring outside counsel</t>
  </si>
  <si>
    <t>PT associate counsel moved to staff costs</t>
  </si>
  <si>
    <t>Telecom</t>
  </si>
  <si>
    <t>Office expense</t>
  </si>
  <si>
    <t>622a</t>
  </si>
  <si>
    <t>PT assistance added</t>
  </si>
  <si>
    <t>Includes CLO, Chancellor and 2 PT Senior Legal Counsels</t>
  </si>
  <si>
    <t>622b</t>
  </si>
  <si>
    <t>Legal Recovery from Unrestricted trust reserves</t>
  </si>
  <si>
    <t>Legal staff work for trust and investment</t>
  </si>
  <si>
    <t>Total Legal</t>
  </si>
  <si>
    <t>FT Chancellor; trademark lititgation costs; CLO mandated by Canons</t>
  </si>
  <si>
    <t>Chief Operating Officer</t>
  </si>
  <si>
    <t>626a</t>
  </si>
  <si>
    <t>No ftf In House; less travel - staff to check for further reductions</t>
  </si>
  <si>
    <t>626b</t>
  </si>
  <si>
    <t>Non-GC travel reduced 10%.</t>
  </si>
  <si>
    <t>627b</t>
  </si>
  <si>
    <t>Total Chief Operating Officer</t>
  </si>
  <si>
    <t>Human Resources</t>
  </si>
  <si>
    <t>Retiree Medical Costs</t>
  </si>
  <si>
    <t>Includes Medicare Part B supplements for lay retirees</t>
  </si>
  <si>
    <t>632a</t>
  </si>
  <si>
    <t>632b</t>
  </si>
  <si>
    <t>Eliminate conferences, travel, freeze professional development funding to 2021.  Check cost assumed - staff to check for further reductions</t>
  </si>
  <si>
    <t>Now includes $70K for anti-oppression training</t>
  </si>
  <si>
    <t>632c</t>
  </si>
  <si>
    <t>Reduce HR staff at GC</t>
  </si>
  <si>
    <t>Total Human Resources</t>
  </si>
  <si>
    <t>Information Technology</t>
  </si>
  <si>
    <t>This keeps us connected</t>
  </si>
  <si>
    <t>Total Departmental costs</t>
  </si>
  <si>
    <t>637b</t>
  </si>
  <si>
    <t>Other Department Costs</t>
  </si>
  <si>
    <t>For IT security and related services</t>
  </si>
  <si>
    <t>GC travel now assumed by IT, not GCO</t>
  </si>
  <si>
    <t>GC travel now assumed by IT, not GCO.  Reduce staff at GC.</t>
  </si>
  <si>
    <t>Will work to reduce telcom expenses - assuming more staff works remote, moving to soft client phones via the computer and reduce phone services at 815. Moving excess to Online services</t>
  </si>
  <si>
    <t>Maintenance</t>
  </si>
  <si>
    <t>Postage and delivery</t>
  </si>
  <si>
    <t>Assumes more staff working remotely.</t>
  </si>
  <si>
    <t>Supplies</t>
  </si>
  <si>
    <t>Software</t>
  </si>
  <si>
    <t>Hardware</t>
  </si>
  <si>
    <t>-- Infrastructure/Hardware - Reserve</t>
  </si>
  <si>
    <t>Computer upgrades, and hardware in the datacenter. Migrate remaining desktop users to laptops for any future pandemics (15K). Plan for Archives migration (30K reserve due to antiquated hardware)</t>
  </si>
  <si>
    <t>-- Hardware- Perishables</t>
  </si>
  <si>
    <t>Online</t>
  </si>
  <si>
    <t xml:space="preserve">Reduced internet service provider costs are offset by Zoom and other online services during the pandemic. </t>
  </si>
  <si>
    <t>648b</t>
  </si>
  <si>
    <t xml:space="preserve">Convention center fees for internet, use of network and wireless at hotels 70K, 5k for staff overtime, 5k for new firewalls hardware - estimated. Pending discussion with Canon Barlowe /Patrick Haziel due to complexity of allocation of time and resources.  </t>
  </si>
  <si>
    <t xml:space="preserve">Need to add Convention center fees for internet, use of network and wireless at hotels 70K, 5k for staff overtime, 5k for new firewalls hardware - these are estimated. Pending discussion with Canon Barlowe /Patrick Haziel due to complexity of allocation of time and resources.  </t>
  </si>
  <si>
    <t>Staff adjustment</t>
  </si>
  <si>
    <t>Total Information Technology</t>
  </si>
  <si>
    <t>Facilities Management</t>
  </si>
  <si>
    <t>All COVID-related expenses presume tenant offices return to full occupany all year.</t>
  </si>
  <si>
    <t>Building Service and Maintenance</t>
  </si>
  <si>
    <t>Building Management</t>
  </si>
  <si>
    <t>Contract personnel to replace two retirees</t>
  </si>
  <si>
    <t>Cleaning contractor</t>
  </si>
  <si>
    <t>Includes FY2021 COVID-19 day cleaner $93,600.00</t>
  </si>
  <si>
    <t>In-person occupancy lowers COVID day cleaning 50% in 2022, and eliminates cleaner in 2023 and 2024</t>
  </si>
  <si>
    <t>Engineers contract</t>
  </si>
  <si>
    <t>Security guard contract</t>
  </si>
  <si>
    <t>Security guard</t>
  </si>
  <si>
    <t>Position eliminated  probably need additional due to COVID-19</t>
  </si>
  <si>
    <t>Additional guard 40 hours weekly; FY2021 with tenant and DFMS return to occupancy</t>
  </si>
  <si>
    <t>Utilities</t>
  </si>
  <si>
    <t>Decorating and remodeling</t>
  </si>
  <si>
    <t>5th floor renovation; but add additional costs of distancing</t>
  </si>
  <si>
    <t>5th floor renovation completed in 2020</t>
  </si>
  <si>
    <t>Bulbs and lighting</t>
  </si>
  <si>
    <t>HVAC maintenance</t>
  </si>
  <si>
    <t>Increased air flow required</t>
  </si>
  <si>
    <t>Higher costs due to change in regulations regarding cooling towers; increased wear and tear replacement costs for chiller repairs, pump replacements and electronics</t>
  </si>
  <si>
    <t>Electrical contractors</t>
  </si>
  <si>
    <t>Plumbing contractors</t>
  </si>
  <si>
    <t xml:space="preserve">Additionally, we are seeing an uptick in </t>
  </si>
  <si>
    <t>Carpentry and hardware</t>
  </si>
  <si>
    <t>Windows and glass</t>
  </si>
  <si>
    <t>Painting</t>
  </si>
  <si>
    <t>Fire Alarm &amp; Safety maintenance and contractors</t>
  </si>
  <si>
    <t>Includes COVID-19 2021 $19,900.00 for Canon Software and H&amp;S supplies</t>
  </si>
  <si>
    <t>Elevator contractors</t>
  </si>
  <si>
    <t>Building supplies</t>
  </si>
  <si>
    <t>Pest control</t>
  </si>
  <si>
    <t>Refuse collection</t>
  </si>
  <si>
    <t>Temporary staff (project work)</t>
  </si>
  <si>
    <t>Miscellaneous services</t>
  </si>
  <si>
    <t>NYC required façade inspection &amp; possible repair ($350,000); Rooftop generator safety catwalk now required by NYC Code ($120,000)</t>
  </si>
  <si>
    <t>Carpet replacement</t>
  </si>
  <si>
    <t>Materials only.  Carpet squares are installed by staff.</t>
  </si>
  <si>
    <t>Chiller repair or replacement</t>
  </si>
  <si>
    <t>Building Services Total</t>
  </si>
  <si>
    <t>Mail Center</t>
  </si>
  <si>
    <t>Equipment rental</t>
  </si>
  <si>
    <t>Trucking pickup/delivery</t>
  </si>
  <si>
    <t>90% of costs will be recovered thru interdepartmental &amp; tenant billing (line item 25)</t>
  </si>
  <si>
    <t>90% of costs will be recovered thru interdepartmental &amp; tenant billing (line item 25).  GC budget reduced by 30% as printed materials replaced by cards with QR codes.</t>
  </si>
  <si>
    <t>90% of costs will be recovered thru interdepartmental &amp; tenant billing (line item 25).  GC budget of $20,000 reduced by 20% as printed materials replaced by cards with QR codes.</t>
  </si>
  <si>
    <t>Mail and packaging</t>
  </si>
  <si>
    <t>685b</t>
  </si>
  <si>
    <t>Mail Center Total</t>
  </si>
  <si>
    <t>Purchasing</t>
  </si>
  <si>
    <t>Supplies and lettershop</t>
  </si>
  <si>
    <t>20% reduction mirrors fewer meetings</t>
  </si>
  <si>
    <t>Purchasing Total</t>
  </si>
  <si>
    <t>692b</t>
  </si>
  <si>
    <t>Two retirees replaced by additional contract workers in line 654</t>
  </si>
  <si>
    <t>Total Facilities Management</t>
  </si>
  <si>
    <t>Total Operations</t>
  </si>
  <si>
    <t>696a</t>
  </si>
  <si>
    <t>696b</t>
  </si>
  <si>
    <t>Total Finance, Legal and Operations</t>
  </si>
  <si>
    <t>STAFFING</t>
  </si>
  <si>
    <t>Department</t>
  </si>
  <si>
    <t>Staffing in EC Budget 2018</t>
  </si>
  <si>
    <t>Staffing in 2019-2021 Budget</t>
  </si>
  <si>
    <t>Staffing in 2022 Budget</t>
  </si>
  <si>
    <t>Staffing in 2023-2024 Budget</t>
  </si>
  <si>
    <t>2022-2024</t>
  </si>
  <si>
    <t>2019-2021 budget revised Feb 2019</t>
  </si>
  <si>
    <t xml:space="preserve"> (Base salary increases 3% pa; medical cost increases 4% pa 2022, 9% pa 2023/2024)</t>
  </si>
  <si>
    <t>Salary</t>
  </si>
  <si>
    <t>Medical</t>
  </si>
  <si>
    <t>Other*</t>
  </si>
  <si>
    <t>Total</t>
  </si>
  <si>
    <t>Other</t>
  </si>
  <si>
    <t>Church Planting</t>
  </si>
  <si>
    <t>Communication</t>
  </si>
  <si>
    <t>Controller</t>
  </si>
  <si>
    <t>Director of Mission</t>
  </si>
  <si>
    <t>Ecumenical &amp; Interfaith</t>
  </si>
  <si>
    <t>EMM Government</t>
  </si>
  <si>
    <t>EMM Non-Government</t>
  </si>
  <si>
    <t>Ethnic Ministries</t>
  </si>
  <si>
    <t>Facilities (Bldg Svcs and Mail)</t>
  </si>
  <si>
    <t>Federal Ministries</t>
  </si>
  <si>
    <t>Formation</t>
  </si>
  <si>
    <t>GBEC</t>
  </si>
  <si>
    <t>General Convention</t>
  </si>
  <si>
    <t>Missionary Staff</t>
  </si>
  <si>
    <t>OGR</t>
  </si>
  <si>
    <t>Presiding Bishop</t>
  </si>
  <si>
    <t>Rec &amp; Justice</t>
  </si>
  <si>
    <t>Refugee Loan Collection</t>
  </si>
  <si>
    <t>Refugee Non-Govt</t>
  </si>
  <si>
    <t>Title IV</t>
  </si>
  <si>
    <t>Transition Ministries &amp; Vocation</t>
  </si>
  <si>
    <t>Treasurer</t>
  </si>
  <si>
    <t>UTO</t>
  </si>
  <si>
    <t>Other includes SECA/FICA, pension, life insurance, ST disability, LT disability, NY family leave, NYC commuter tax</t>
  </si>
  <si>
    <t>1% change equals $150K</t>
  </si>
  <si>
    <t>Equals 24% of base salaries</t>
  </si>
  <si>
    <t>1% changes equals approx. $185K</t>
  </si>
  <si>
    <t>Draft 01262022 5pm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</si>
</sst>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41" formatCode="_(* #,##0_);_(* \(#,##0\);_(* &quot;-&quot;_);_(@_)"/>
    <numFmt numFmtId="43" formatCode="_(* #,##0.00_);_(* \(#,##0.00\);_(* &quot;-&quot;??_);_(@_)"/>
    <numFmt numFmtId="164" formatCode="_([$€-2]* #,##0.00_);_([$€-2]* \(#,##0.00\);_([$€-2]* &quot;-&quot;??_)"/>
    <numFmt numFmtId="165" formatCode="0.0%"/>
    <numFmt numFmtId="166" formatCode="_(* #,##0_);_(* \(#,##0\);_(* &quot;-&quot;??_);_(@_)"/>
    <numFmt numFmtId="167" formatCode="#,##0.0"/>
    <numFmt numFmtId="168" formatCode="_(&quot;$&quot;* #,##0_);_(&quot;$&quot;* \(#,##0\);_(&quot;$&quot;* &quot;-&quot;??_);_(@_)"/>
  </numFmts>
  <fonts count="41">
    <font>
      <sz val="12"/>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2"/>
      <color theme="10"/>
      <name val="Calibri"/>
      <family val="2"/>
      <scheme val="minor"/>
    </font>
    <font>
      <b/>
      <sz val="12"/>
      <name val="Calibri"/>
      <family val="2"/>
      <scheme val="minor"/>
    </font>
    <font>
      <sz val="12"/>
      <color theme="1"/>
      <name val="Calibri"/>
      <family val="2"/>
      <scheme val="minor"/>
    </font>
    <font>
      <sz val="12"/>
      <name val="Calibri"/>
      <family val="2"/>
      <scheme val="minor"/>
    </font>
    <font>
      <b/>
      <u/>
      <sz val="14"/>
      <color theme="10"/>
      <name val="Calibri"/>
      <family val="2"/>
      <scheme val="minor"/>
    </font>
    <font>
      <i/>
      <sz val="12"/>
      <color theme="1"/>
      <name val="Calibri"/>
      <family val="2"/>
      <scheme val="minor"/>
    </font>
    <font>
      <b/>
      <sz val="12"/>
      <color theme="1"/>
      <name val="Calibri"/>
      <family val="2"/>
      <scheme val="minor"/>
    </font>
    <font>
      <sz val="11"/>
      <name val="Calibri"/>
      <family val="2"/>
      <scheme val="minor"/>
    </font>
    <font>
      <i/>
      <sz val="11"/>
      <color theme="1"/>
      <name val="Calibri"/>
      <family val="2"/>
      <scheme val="minor"/>
    </font>
    <font>
      <b/>
      <sz val="12"/>
      <color indexed="8"/>
      <name val="Calibri"/>
      <family val="2"/>
      <scheme val="minor"/>
    </font>
    <font>
      <b/>
      <i/>
      <sz val="12"/>
      <color theme="1"/>
      <name val="Calibri"/>
      <family val="2"/>
      <scheme val="minor"/>
    </font>
    <font>
      <b/>
      <sz val="11"/>
      <name val="Calibri"/>
      <family val="2"/>
      <scheme val="minor"/>
    </font>
    <font>
      <b/>
      <i/>
      <sz val="11"/>
      <color theme="1"/>
      <name val="Calibri"/>
      <family val="2"/>
      <scheme val="minor"/>
    </font>
    <font>
      <u/>
      <sz val="11"/>
      <color theme="1"/>
      <name val="Calibri"/>
      <family val="2"/>
      <scheme val="minor"/>
    </font>
    <font>
      <u/>
      <sz val="11"/>
      <name val="Calibri"/>
      <family val="2"/>
      <scheme val="minor"/>
    </font>
    <font>
      <sz val="11"/>
      <color rgb="FF00B050"/>
      <name val="Calibri"/>
      <family val="2"/>
      <scheme val="minor"/>
    </font>
    <font>
      <b/>
      <u/>
      <sz val="12"/>
      <color theme="10"/>
      <name val="Calibri"/>
      <family val="2"/>
      <scheme val="minor"/>
    </font>
    <font>
      <b/>
      <u/>
      <sz val="12"/>
      <name val="Calibri"/>
      <family val="2"/>
      <scheme val="minor"/>
    </font>
    <font>
      <sz val="12"/>
      <color rgb="FFFF0000"/>
      <name val="Calibri"/>
      <family val="2"/>
      <scheme val="minor"/>
    </font>
    <font>
      <sz val="11"/>
      <color theme="1"/>
      <name val="Times New Roman"/>
      <family val="1"/>
    </font>
    <font>
      <b/>
      <sz val="11"/>
      <color indexed="8"/>
      <name val="Calibri"/>
      <family val="2"/>
      <scheme val="minor"/>
    </font>
    <font>
      <strike/>
      <sz val="11"/>
      <color theme="1"/>
      <name val="Calibri"/>
      <family val="2"/>
      <scheme val="minor"/>
    </font>
    <font>
      <sz val="10"/>
      <name val="Arial"/>
      <family val="2"/>
    </font>
    <font>
      <sz val="11"/>
      <name val="Calibri (Body)"/>
    </font>
    <font>
      <strike/>
      <sz val="11"/>
      <name val="Calibri"/>
      <family val="2"/>
      <scheme val="minor"/>
    </font>
    <font>
      <sz val="11"/>
      <name val="Cambria"/>
      <family val="1"/>
    </font>
    <font>
      <b/>
      <u/>
      <sz val="14"/>
      <name val="Calibri"/>
      <family val="2"/>
      <scheme val="minor"/>
    </font>
    <font>
      <strike/>
      <sz val="12"/>
      <color rgb="FFFF0000"/>
      <name val="Calibri"/>
      <family val="2"/>
      <scheme val="minor"/>
    </font>
    <font>
      <b/>
      <u/>
      <sz val="11"/>
      <color theme="10"/>
      <name val="Calibri"/>
      <family val="2"/>
      <scheme val="minor"/>
    </font>
    <font>
      <sz val="11"/>
      <color indexed="8"/>
      <name val="Calibri"/>
      <family val="2"/>
      <scheme val="minor"/>
    </font>
    <font>
      <sz val="11"/>
      <color rgb="FF000000"/>
      <name val="Calibri"/>
      <family val="2"/>
      <scheme val="minor"/>
    </font>
    <font>
      <b/>
      <sz val="11"/>
      <color rgb="FF000000"/>
      <name val="Calibri"/>
      <family val="2"/>
      <scheme val="minor"/>
    </font>
    <font>
      <b/>
      <sz val="11"/>
      <color rgb="FFFFC000"/>
      <name val="Calibri"/>
      <family val="2"/>
      <scheme val="minor"/>
    </font>
    <font>
      <sz val="11"/>
      <name val="Times New Roman"/>
      <family val="1"/>
    </font>
    <font>
      <b/>
      <sz val="11"/>
      <color theme="1"/>
      <name val="Times New Roman"/>
      <family val="1"/>
    </font>
    <font>
      <sz val="11"/>
      <color rgb="FF000000"/>
      <name val="Times New Roman"/>
      <family val="1"/>
    </font>
    <font>
      <sz val="11"/>
      <color indexed="8"/>
      <name val="Calibri"/>
      <family val="2"/>
    </font>
  </fonts>
  <fills count="1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theme="5"/>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92D050"/>
        <bgColor indexed="64"/>
      </patternFill>
    </fill>
    <fill>
      <patternFill patternType="solid">
        <fgColor theme="0" tint="-0.14999847407452621"/>
        <bgColor indexed="64"/>
      </patternFill>
    </fill>
  </fills>
  <borders count="21">
    <border>
      <left/>
      <right/>
      <top/>
      <bottom/>
      <diagonal/>
    </border>
    <border>
      <left/>
      <right/>
      <top style="medium">
        <color auto="1"/>
      </top>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top/>
      <bottom style="thin">
        <color auto="1"/>
      </bottom>
      <diagonal/>
    </border>
    <border>
      <left/>
      <right/>
      <top style="thin">
        <color indexed="64"/>
      </top>
      <bottom/>
      <diagonal/>
    </border>
    <border>
      <left/>
      <right/>
      <top style="thin">
        <color auto="1"/>
      </top>
      <bottom style="thin">
        <color auto="1"/>
      </bottom>
      <diagonal/>
    </border>
    <border>
      <left/>
      <right/>
      <top/>
      <bottom style="medium">
        <color auto="1"/>
      </bottom>
      <diagonal/>
    </border>
    <border>
      <left/>
      <right style="medium">
        <color auto="1"/>
      </right>
      <top/>
      <bottom style="medium">
        <color auto="1"/>
      </bottom>
      <diagonal/>
    </border>
    <border>
      <left/>
      <right/>
      <top style="thin">
        <color auto="1"/>
      </top>
      <bottom style="medium">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7">
    <xf numFmtId="164" fontId="0" fillId="0" borderId="0"/>
    <xf numFmtId="43" fontId="6" fillId="0" borderId="0" applyFont="0" applyFill="0" applyBorder="0" applyAlignment="0" applyProtection="0"/>
    <xf numFmtId="9" fontId="6" fillId="0" borderId="0" applyFont="0" applyFill="0" applyBorder="0" applyAlignment="0" applyProtection="0"/>
    <xf numFmtId="164" fontId="4" fillId="0" borderId="0" applyNumberFormat="0" applyFill="0" applyBorder="0" applyAlignment="0" applyProtection="0"/>
    <xf numFmtId="9" fontId="26" fillId="0" borderId="0" applyFont="0" applyFill="0" applyBorder="0" applyAlignment="0" applyProtection="0"/>
    <xf numFmtId="164" fontId="1" fillId="0" borderId="0"/>
    <xf numFmtId="9" fontId="40" fillId="0" borderId="0" applyFont="0" applyFill="0" applyBorder="0" applyAlignment="0" applyProtection="0"/>
  </cellStyleXfs>
  <cellXfs count="867">
    <xf numFmtId="164" fontId="0" fillId="0" borderId="0" xfId="0"/>
    <xf numFmtId="41" fontId="5" fillId="0" borderId="1" xfId="3" applyNumberFormat="1" applyFont="1" applyFill="1" applyBorder="1" applyAlignment="1" applyProtection="1">
      <alignment horizontal="left" vertical="top"/>
      <protection locked="0"/>
    </xf>
    <xf numFmtId="5" fontId="7" fillId="0" borderId="1" xfId="0" applyNumberFormat="1" applyFont="1" applyBorder="1" applyAlignment="1">
      <alignment vertical="top" wrapText="1"/>
    </xf>
    <xf numFmtId="41" fontId="8" fillId="0" borderId="1" xfId="3" applyNumberFormat="1" applyFont="1" applyFill="1" applyBorder="1" applyAlignment="1" applyProtection="1">
      <alignment horizontal="center" vertical="top"/>
      <protection locked="0"/>
    </xf>
    <xf numFmtId="41" fontId="8" fillId="0" borderId="0" xfId="3" applyNumberFormat="1" applyFont="1" applyFill="1" applyBorder="1" applyAlignment="1" applyProtection="1">
      <alignment horizontal="center" vertical="top"/>
      <protection locked="0"/>
    </xf>
    <xf numFmtId="41" fontId="8" fillId="0" borderId="0" xfId="3" applyNumberFormat="1" applyFont="1" applyFill="1" applyBorder="1" applyAlignment="1" applyProtection="1">
      <alignment horizontal="center" vertical="top" wrapText="1"/>
      <protection locked="0"/>
    </xf>
    <xf numFmtId="164" fontId="0" fillId="2" borderId="0" xfId="0" applyFill="1"/>
    <xf numFmtId="41" fontId="8" fillId="0" borderId="1" xfId="3" applyNumberFormat="1" applyFont="1" applyFill="1" applyBorder="1" applyAlignment="1" applyProtection="1">
      <alignment horizontal="center" vertical="top" wrapText="1"/>
      <protection locked="0"/>
    </xf>
    <xf numFmtId="5" fontId="0" fillId="0" borderId="0" xfId="0" applyNumberFormat="1" applyAlignment="1">
      <alignment vertical="top"/>
    </xf>
    <xf numFmtId="165" fontId="9" fillId="0" borderId="0" xfId="2" applyNumberFormat="1" applyFont="1" applyAlignment="1">
      <alignment vertical="top"/>
    </xf>
    <xf numFmtId="41" fontId="8" fillId="3" borderId="0" xfId="3" applyNumberFormat="1" applyFont="1" applyFill="1" applyBorder="1" applyAlignment="1" applyProtection="1">
      <alignment horizontal="center" vertical="top" wrapText="1"/>
      <protection locked="0"/>
    </xf>
    <xf numFmtId="0" fontId="10" fillId="4" borderId="0" xfId="0" applyNumberFormat="1" applyFont="1" applyFill="1" applyAlignment="1">
      <alignment horizontal="left" vertical="top"/>
    </xf>
    <xf numFmtId="5" fontId="7" fillId="4" borderId="0" xfId="0" applyNumberFormat="1" applyFont="1" applyFill="1" applyAlignment="1">
      <alignment vertical="top" wrapText="1"/>
    </xf>
    <xf numFmtId="164" fontId="0" fillId="5" borderId="0" xfId="0" applyFill="1"/>
    <xf numFmtId="0" fontId="10" fillId="0" borderId="0" xfId="0" applyNumberFormat="1" applyFont="1" applyAlignment="1">
      <alignment horizontal="left" vertical="top"/>
    </xf>
    <xf numFmtId="5" fontId="7" fillId="0" borderId="0" xfId="0" applyNumberFormat="1" applyFont="1" applyAlignment="1">
      <alignment vertical="top" wrapText="1"/>
    </xf>
    <xf numFmtId="5" fontId="0" fillId="6" borderId="0" xfId="0" applyNumberFormat="1" applyFill="1" applyAlignment="1">
      <alignment vertical="top"/>
    </xf>
    <xf numFmtId="0" fontId="3" fillId="0" borderId="0" xfId="0" applyNumberFormat="1" applyFont="1" applyAlignment="1" applyProtection="1">
      <alignment horizontal="left" vertical="top"/>
      <protection locked="0"/>
    </xf>
    <xf numFmtId="5" fontId="11" fillId="0" borderId="0" xfId="0" applyNumberFormat="1" applyFont="1" applyAlignment="1" applyProtection="1">
      <alignment vertical="top" wrapText="1"/>
      <protection locked="0"/>
    </xf>
    <xf numFmtId="5" fontId="1" fillId="0" borderId="0" xfId="0" applyNumberFormat="1" applyFont="1" applyAlignment="1" applyProtection="1">
      <alignment vertical="top"/>
      <protection locked="0"/>
    </xf>
    <xf numFmtId="165" fontId="1" fillId="0" borderId="0" xfId="2" applyNumberFormat="1" applyFont="1" applyBorder="1" applyAlignment="1" applyProtection="1">
      <alignment vertical="top"/>
      <protection locked="0"/>
    </xf>
    <xf numFmtId="165" fontId="1" fillId="0" borderId="0" xfId="2" applyNumberFormat="1" applyFont="1" applyBorder="1" applyAlignment="1" applyProtection="1">
      <alignment vertical="top" wrapText="1"/>
      <protection locked="0"/>
    </xf>
    <xf numFmtId="41" fontId="1" fillId="0" borderId="0" xfId="2" applyNumberFormat="1" applyFont="1" applyBorder="1" applyAlignment="1" applyProtection="1">
      <alignment vertical="top"/>
      <protection locked="0"/>
    </xf>
    <xf numFmtId="165" fontId="12" fillId="0" borderId="0" xfId="2" applyNumberFormat="1" applyFont="1" applyAlignment="1" applyProtection="1">
      <alignment vertical="top"/>
      <protection locked="0"/>
    </xf>
    <xf numFmtId="165" fontId="1" fillId="3" borderId="0" xfId="2" applyNumberFormat="1" applyFont="1" applyFill="1" applyBorder="1" applyAlignment="1" applyProtection="1">
      <alignment vertical="top"/>
      <protection locked="0"/>
    </xf>
    <xf numFmtId="0" fontId="10" fillId="7" borderId="2" xfId="0" applyNumberFormat="1" applyFont="1" applyFill="1" applyBorder="1" applyAlignment="1">
      <alignment horizontal="center" vertical="center" wrapText="1"/>
    </xf>
    <xf numFmtId="3" fontId="5" fillId="7" borderId="3" xfId="0" applyNumberFormat="1" applyFont="1" applyFill="1" applyBorder="1" applyAlignment="1">
      <alignment horizontal="center" vertical="center"/>
    </xf>
    <xf numFmtId="5" fontId="10" fillId="7" borderId="3" xfId="0" applyNumberFormat="1" applyFont="1" applyFill="1" applyBorder="1" applyAlignment="1" applyProtection="1">
      <alignment horizontal="center" vertical="center" wrapText="1"/>
      <protection locked="0"/>
    </xf>
    <xf numFmtId="5" fontId="10" fillId="7" borderId="2" xfId="0" applyNumberFormat="1" applyFont="1" applyFill="1" applyBorder="1" applyAlignment="1" applyProtection="1">
      <alignment horizontal="center" vertical="center" wrapText="1"/>
      <protection locked="0"/>
    </xf>
    <xf numFmtId="0" fontId="10" fillId="7" borderId="2" xfId="0" applyNumberFormat="1" applyFont="1" applyFill="1" applyBorder="1" applyAlignment="1" applyProtection="1">
      <alignment horizontal="center" vertical="center" wrapText="1"/>
      <protection locked="0"/>
    </xf>
    <xf numFmtId="0" fontId="3" fillId="7" borderId="4" xfId="0" applyNumberFormat="1" applyFont="1" applyFill="1" applyBorder="1" applyAlignment="1" applyProtection="1">
      <alignment horizontal="center" vertical="center" wrapText="1"/>
      <protection locked="0"/>
    </xf>
    <xf numFmtId="0" fontId="10" fillId="7" borderId="4" xfId="0" applyNumberFormat="1" applyFont="1" applyFill="1" applyBorder="1" applyAlignment="1" applyProtection="1">
      <alignment horizontal="center" vertical="center" wrapText="1"/>
      <protection locked="0"/>
    </xf>
    <xf numFmtId="41" fontId="10" fillId="7" borderId="4" xfId="0" applyNumberFormat="1" applyFont="1" applyFill="1" applyBorder="1" applyAlignment="1" applyProtection="1">
      <alignment horizontal="center" vertical="center" wrapText="1"/>
      <protection locked="0"/>
    </xf>
    <xf numFmtId="0" fontId="10" fillId="8" borderId="4" xfId="0" applyNumberFormat="1" applyFont="1" applyFill="1" applyBorder="1" applyAlignment="1" applyProtection="1">
      <alignment horizontal="center" vertical="center" wrapText="1"/>
      <protection locked="0"/>
    </xf>
    <xf numFmtId="0" fontId="3" fillId="8" borderId="4" xfId="0" applyNumberFormat="1" applyFont="1" applyFill="1" applyBorder="1" applyAlignment="1" applyProtection="1">
      <alignment horizontal="center" vertical="center" wrapText="1"/>
      <protection locked="0"/>
    </xf>
    <xf numFmtId="0" fontId="10" fillId="0" borderId="4" xfId="0" applyNumberFormat="1" applyFont="1" applyBorder="1" applyAlignment="1" applyProtection="1">
      <alignment horizontal="center" vertical="center" wrapText="1"/>
      <protection locked="0"/>
    </xf>
    <xf numFmtId="0" fontId="13" fillId="8" borderId="4" xfId="0" applyNumberFormat="1" applyFont="1" applyFill="1" applyBorder="1" applyAlignment="1" applyProtection="1">
      <alignment horizontal="center" vertical="center" wrapText="1"/>
      <protection locked="0"/>
    </xf>
    <xf numFmtId="0" fontId="10" fillId="3" borderId="4" xfId="0" applyNumberFormat="1" applyFont="1" applyFill="1" applyBorder="1" applyAlignment="1" applyProtection="1">
      <alignment horizontal="center" vertical="center" wrapText="1"/>
      <protection locked="0"/>
    </xf>
    <xf numFmtId="0" fontId="10" fillId="2" borderId="2" xfId="0" applyNumberFormat="1" applyFont="1" applyFill="1" applyBorder="1" applyAlignment="1" applyProtection="1">
      <alignment horizontal="center" vertical="center" wrapText="1"/>
      <protection locked="0"/>
    </xf>
    <xf numFmtId="0" fontId="14" fillId="9" borderId="4" xfId="0" applyNumberFormat="1" applyFont="1" applyFill="1" applyBorder="1" applyAlignment="1" applyProtection="1">
      <alignment horizontal="center" vertical="center" wrapText="1"/>
      <protection locked="0"/>
    </xf>
    <xf numFmtId="3" fontId="0" fillId="0" borderId="0" xfId="0" applyNumberFormat="1" applyAlignment="1">
      <alignment horizontal="center" vertical="center"/>
    </xf>
    <xf numFmtId="0" fontId="1" fillId="0" borderId="0" xfId="0" applyNumberFormat="1" applyFont="1" applyAlignment="1" applyProtection="1">
      <alignment horizontal="center" vertical="top"/>
      <protection locked="0"/>
    </xf>
    <xf numFmtId="165" fontId="1" fillId="0" borderId="0" xfId="2" applyNumberFormat="1" applyFont="1" applyFill="1" applyBorder="1" applyAlignment="1" applyProtection="1">
      <alignment vertical="top"/>
      <protection locked="0"/>
    </xf>
    <xf numFmtId="165" fontId="1" fillId="0" borderId="0" xfId="2" applyNumberFormat="1" applyFont="1" applyFill="1" applyBorder="1" applyAlignment="1" applyProtection="1">
      <alignment vertical="top" wrapText="1"/>
      <protection locked="0"/>
    </xf>
    <xf numFmtId="165" fontId="1" fillId="7" borderId="0" xfId="2" applyNumberFormat="1" applyFont="1" applyFill="1" applyBorder="1" applyAlignment="1" applyProtection="1">
      <alignment vertical="top"/>
      <protection locked="0"/>
    </xf>
    <xf numFmtId="165" fontId="1" fillId="7" borderId="0" xfId="2" applyNumberFormat="1" applyFont="1" applyFill="1" applyBorder="1" applyAlignment="1" applyProtection="1">
      <alignment vertical="top" wrapText="1"/>
      <protection locked="0"/>
    </xf>
    <xf numFmtId="41" fontId="1" fillId="7" borderId="0" xfId="2" applyNumberFormat="1" applyFont="1" applyFill="1" applyBorder="1" applyAlignment="1" applyProtection="1">
      <alignment vertical="top"/>
      <protection locked="0"/>
    </xf>
    <xf numFmtId="5" fontId="1" fillId="8" borderId="0" xfId="0" applyNumberFormat="1" applyFont="1" applyFill="1" applyAlignment="1" applyProtection="1">
      <alignment vertical="top"/>
      <protection locked="0"/>
    </xf>
    <xf numFmtId="165" fontId="12" fillId="8" borderId="0" xfId="2" applyNumberFormat="1" applyFont="1" applyFill="1" applyAlignment="1" applyProtection="1">
      <alignment vertical="top"/>
      <protection locked="0"/>
    </xf>
    <xf numFmtId="165" fontId="1" fillId="2" borderId="0" xfId="2" applyNumberFormat="1" applyFont="1" applyFill="1" applyBorder="1" applyAlignment="1" applyProtection="1">
      <alignment vertical="top"/>
      <protection locked="0"/>
    </xf>
    <xf numFmtId="5" fontId="12" fillId="9" borderId="0" xfId="0" applyNumberFormat="1" applyFont="1" applyFill="1" applyAlignment="1" applyProtection="1">
      <alignment vertical="top"/>
      <protection locked="0"/>
    </xf>
    <xf numFmtId="5" fontId="15" fillId="0" borderId="0" xfId="0" applyNumberFormat="1" applyFont="1" applyAlignment="1" applyProtection="1">
      <alignment vertical="top" wrapText="1"/>
      <protection locked="0"/>
    </xf>
    <xf numFmtId="5" fontId="1" fillId="7" borderId="0" xfId="0" applyNumberFormat="1" applyFont="1" applyFill="1" applyAlignment="1" applyProtection="1">
      <alignment vertical="top"/>
      <protection locked="0"/>
    </xf>
    <xf numFmtId="41" fontId="1" fillId="7" borderId="0" xfId="2" applyNumberFormat="1" applyFont="1" applyFill="1" applyBorder="1" applyAlignment="1" applyProtection="1">
      <alignment vertical="top" wrapText="1"/>
      <protection locked="0"/>
    </xf>
    <xf numFmtId="165" fontId="1" fillId="3" borderId="0" xfId="2" applyNumberFormat="1" applyFont="1" applyFill="1" applyBorder="1" applyAlignment="1" applyProtection="1">
      <alignment vertical="top" wrapText="1"/>
      <protection locked="0"/>
    </xf>
    <xf numFmtId="5" fontId="1" fillId="0" borderId="0" xfId="0" applyNumberFormat="1" applyFont="1" applyAlignment="1" applyProtection="1">
      <alignment vertical="top" wrapText="1"/>
      <protection locked="0"/>
    </xf>
    <xf numFmtId="41" fontId="1" fillId="7" borderId="0" xfId="0" applyNumberFormat="1" applyFont="1" applyFill="1" applyAlignment="1" applyProtection="1">
      <alignment vertical="top"/>
      <protection locked="0"/>
    </xf>
    <xf numFmtId="9" fontId="1" fillId="7" borderId="0" xfId="0" applyNumberFormat="1" applyFont="1" applyFill="1" applyAlignment="1" applyProtection="1">
      <alignment horizontal="left" vertical="top" wrapText="1"/>
      <protection locked="0"/>
    </xf>
    <xf numFmtId="5" fontId="1" fillId="8" borderId="0" xfId="0" quotePrefix="1" applyNumberFormat="1" applyFont="1" applyFill="1" applyAlignment="1" applyProtection="1">
      <alignment horizontal="center" vertical="top" wrapText="1"/>
      <protection locked="0"/>
    </xf>
    <xf numFmtId="5" fontId="1" fillId="8" borderId="0" xfId="0" applyNumberFormat="1" applyFont="1" applyFill="1" applyAlignment="1" applyProtection="1">
      <alignment horizontal="center" vertical="top" wrapText="1"/>
      <protection locked="0"/>
    </xf>
    <xf numFmtId="41" fontId="1" fillId="3" borderId="0" xfId="0" applyNumberFormat="1" applyFont="1" applyFill="1" applyAlignment="1" applyProtection="1">
      <alignment vertical="top"/>
      <protection locked="0"/>
    </xf>
    <xf numFmtId="5" fontId="1" fillId="2" borderId="0" xfId="0" applyNumberFormat="1" applyFont="1" applyFill="1" applyAlignment="1" applyProtection="1">
      <alignment vertical="top"/>
      <protection locked="0"/>
    </xf>
    <xf numFmtId="41" fontId="1" fillId="0" borderId="0" xfId="0" applyNumberFormat="1" applyFont="1" applyAlignment="1" applyProtection="1">
      <alignment vertical="top"/>
      <protection locked="0"/>
    </xf>
    <xf numFmtId="41" fontId="1" fillId="0" borderId="0" xfId="0" applyNumberFormat="1" applyFont="1" applyAlignment="1" applyProtection="1">
      <alignment vertical="top" wrapText="1"/>
      <protection locked="0"/>
    </xf>
    <xf numFmtId="5" fontId="0" fillId="7" borderId="0" xfId="0" applyNumberFormat="1" applyFill="1" applyAlignment="1">
      <alignment vertical="top" wrapText="1"/>
    </xf>
    <xf numFmtId="41" fontId="1" fillId="8" borderId="0" xfId="0" applyNumberFormat="1" applyFont="1" applyFill="1" applyAlignment="1" applyProtection="1">
      <alignment horizontal="center" vertical="top"/>
      <protection locked="0"/>
    </xf>
    <xf numFmtId="41" fontId="1" fillId="8" borderId="0" xfId="0" applyNumberFormat="1" applyFont="1" applyFill="1" applyAlignment="1" applyProtection="1">
      <alignment vertical="top"/>
      <protection locked="0"/>
    </xf>
    <xf numFmtId="5" fontId="1" fillId="8" borderId="0" xfId="0" applyNumberFormat="1" applyFont="1" applyFill="1" applyAlignment="1" applyProtection="1">
      <alignment vertical="top" wrapText="1"/>
      <protection locked="0"/>
    </xf>
    <xf numFmtId="41" fontId="1" fillId="2" borderId="0" xfId="0" applyNumberFormat="1" applyFont="1" applyFill="1" applyAlignment="1" applyProtection="1">
      <alignment vertical="top"/>
      <protection locked="0"/>
    </xf>
    <xf numFmtId="41" fontId="12" fillId="9" borderId="0" xfId="0" applyNumberFormat="1" applyFont="1" applyFill="1" applyAlignment="1" applyProtection="1">
      <alignment vertical="top"/>
      <protection locked="0"/>
    </xf>
    <xf numFmtId="166" fontId="1" fillId="0" borderId="0" xfId="0" applyNumberFormat="1" applyFont="1" applyAlignment="1" applyProtection="1">
      <alignment vertical="top"/>
      <protection locked="0"/>
    </xf>
    <xf numFmtId="166" fontId="1" fillId="0" borderId="0" xfId="0" applyNumberFormat="1" applyFont="1" applyAlignment="1" applyProtection="1">
      <alignment vertical="top" wrapText="1"/>
      <protection locked="0"/>
    </xf>
    <xf numFmtId="41" fontId="1" fillId="10" borderId="0" xfId="0" applyNumberFormat="1" applyFont="1" applyFill="1" applyAlignment="1" applyProtection="1">
      <alignment vertical="top"/>
      <protection locked="0"/>
    </xf>
    <xf numFmtId="41" fontId="1" fillId="10" borderId="0" xfId="0" applyNumberFormat="1" applyFont="1" applyFill="1" applyAlignment="1" applyProtection="1">
      <alignment horizontal="center" vertical="top"/>
      <protection locked="0"/>
    </xf>
    <xf numFmtId="41" fontId="3" fillId="8" borderId="0" xfId="0" applyNumberFormat="1" applyFont="1" applyFill="1" applyAlignment="1" applyProtection="1">
      <alignment vertical="top"/>
      <protection locked="0"/>
    </xf>
    <xf numFmtId="43" fontId="1" fillId="0" borderId="0" xfId="0" applyNumberFormat="1" applyFont="1" applyAlignment="1" applyProtection="1">
      <alignment vertical="top"/>
      <protection locked="0"/>
    </xf>
    <xf numFmtId="43" fontId="1" fillId="0" borderId="0" xfId="0" applyNumberFormat="1" applyFont="1" applyAlignment="1" applyProtection="1">
      <alignment vertical="top" wrapText="1"/>
      <protection locked="0"/>
    </xf>
    <xf numFmtId="41" fontId="1" fillId="7" borderId="0" xfId="0" applyNumberFormat="1" applyFont="1" applyFill="1" applyAlignment="1" applyProtection="1">
      <alignment vertical="top" wrapText="1"/>
      <protection locked="0"/>
    </xf>
    <xf numFmtId="165" fontId="1" fillId="0" borderId="0" xfId="2" applyNumberFormat="1" applyFont="1" applyAlignment="1" applyProtection="1">
      <alignment vertical="top"/>
      <protection locked="0"/>
    </xf>
    <xf numFmtId="5" fontId="11" fillId="0" borderId="0" xfId="0" applyNumberFormat="1" applyFont="1" applyAlignment="1" applyProtection="1">
      <alignment horizontal="left" vertical="top" wrapText="1" indent="2"/>
      <protection locked="0"/>
    </xf>
    <xf numFmtId="165" fontId="1" fillId="8" borderId="0" xfId="2" applyNumberFormat="1" applyFont="1" applyFill="1" applyBorder="1" applyAlignment="1" applyProtection="1">
      <alignment vertical="top" wrapText="1"/>
      <protection locked="0"/>
    </xf>
    <xf numFmtId="41" fontId="1" fillId="7" borderId="5" xfId="0" applyNumberFormat="1" applyFont="1" applyFill="1" applyBorder="1" applyAlignment="1" applyProtection="1">
      <alignment vertical="top"/>
      <protection locked="0"/>
    </xf>
    <xf numFmtId="41" fontId="1" fillId="0" borderId="6" xfId="0" applyNumberFormat="1" applyFont="1" applyBorder="1" applyAlignment="1" applyProtection="1">
      <alignment vertical="top"/>
      <protection locked="0"/>
    </xf>
    <xf numFmtId="41" fontId="1" fillId="0" borderId="6" xfId="0" applyNumberFormat="1" applyFont="1" applyBorder="1" applyAlignment="1" applyProtection="1">
      <alignment vertical="top" wrapText="1"/>
      <protection locked="0"/>
    </xf>
    <xf numFmtId="41" fontId="1" fillId="7" borderId="6" xfId="0" applyNumberFormat="1" applyFont="1" applyFill="1" applyBorder="1" applyAlignment="1" applyProtection="1">
      <alignment vertical="top"/>
      <protection locked="0"/>
    </xf>
    <xf numFmtId="165" fontId="1" fillId="7" borderId="6" xfId="2" applyNumberFormat="1" applyFont="1" applyFill="1" applyBorder="1" applyAlignment="1" applyProtection="1">
      <alignment vertical="top" wrapText="1"/>
      <protection locked="0"/>
    </xf>
    <xf numFmtId="41" fontId="1" fillId="8" borderId="6" xfId="0" applyNumberFormat="1" applyFont="1" applyFill="1" applyBorder="1" applyAlignment="1" applyProtection="1">
      <alignment vertical="top"/>
      <protection locked="0"/>
    </xf>
    <xf numFmtId="41" fontId="1" fillId="8" borderId="6" xfId="0" applyNumberFormat="1" applyFont="1" applyFill="1" applyBorder="1" applyAlignment="1" applyProtection="1">
      <alignment horizontal="center" vertical="top"/>
      <protection locked="0"/>
    </xf>
    <xf numFmtId="41" fontId="1" fillId="2" borderId="6" xfId="0" applyNumberFormat="1" applyFont="1" applyFill="1" applyBorder="1" applyAlignment="1" applyProtection="1">
      <alignment vertical="top"/>
      <protection locked="0"/>
    </xf>
    <xf numFmtId="41" fontId="0" fillId="0" borderId="0" xfId="0" applyNumberFormat="1" applyAlignment="1">
      <alignment vertical="top"/>
    </xf>
    <xf numFmtId="0" fontId="3" fillId="0" borderId="7" xfId="0" applyNumberFormat="1" applyFont="1" applyBorder="1" applyAlignment="1" applyProtection="1">
      <alignment horizontal="center" vertical="top"/>
      <protection locked="0"/>
    </xf>
    <xf numFmtId="5" fontId="15" fillId="0" borderId="7" xfId="0" applyNumberFormat="1" applyFont="1" applyBorder="1" applyAlignment="1" applyProtection="1">
      <alignment vertical="top" wrapText="1"/>
      <protection locked="0"/>
    </xf>
    <xf numFmtId="41" fontId="3" fillId="0" borderId="7" xfId="0" applyNumberFormat="1" applyFont="1" applyBorder="1" applyAlignment="1" applyProtection="1">
      <alignment vertical="top"/>
      <protection locked="0"/>
    </xf>
    <xf numFmtId="41" fontId="3" fillId="7" borderId="7" xfId="0" applyNumberFormat="1" applyFont="1" applyFill="1" applyBorder="1" applyAlignment="1" applyProtection="1">
      <alignment vertical="top"/>
      <protection locked="0"/>
    </xf>
    <xf numFmtId="165" fontId="3" fillId="7" borderId="7" xfId="2" applyNumberFormat="1" applyFont="1" applyFill="1" applyBorder="1" applyAlignment="1" applyProtection="1">
      <alignment vertical="top" wrapText="1"/>
      <protection locked="0"/>
    </xf>
    <xf numFmtId="41" fontId="3" fillId="8" borderId="7" xfId="0" applyNumberFormat="1" applyFont="1" applyFill="1" applyBorder="1" applyAlignment="1" applyProtection="1">
      <alignment vertical="top"/>
      <protection locked="0"/>
    </xf>
    <xf numFmtId="165" fontId="12" fillId="8" borderId="7" xfId="2" applyNumberFormat="1" applyFont="1" applyFill="1" applyBorder="1" applyAlignment="1" applyProtection="1">
      <alignment vertical="top"/>
      <protection locked="0"/>
    </xf>
    <xf numFmtId="5" fontId="3" fillId="8" borderId="7" xfId="0" applyNumberFormat="1" applyFont="1" applyFill="1" applyBorder="1" applyAlignment="1" applyProtection="1">
      <alignment vertical="top"/>
      <protection locked="0"/>
    </xf>
    <xf numFmtId="41" fontId="3" fillId="3" borderId="7" xfId="0" applyNumberFormat="1" applyFont="1" applyFill="1" applyBorder="1" applyAlignment="1" applyProtection="1">
      <alignment vertical="top"/>
      <protection locked="0"/>
    </xf>
    <xf numFmtId="41" fontId="3" fillId="2" borderId="7" xfId="0" applyNumberFormat="1" applyFont="1" applyFill="1" applyBorder="1" applyAlignment="1" applyProtection="1">
      <alignment vertical="top"/>
      <protection locked="0"/>
    </xf>
    <xf numFmtId="41" fontId="16" fillId="9" borderId="7" xfId="0" applyNumberFormat="1" applyFont="1" applyFill="1" applyBorder="1" applyAlignment="1" applyProtection="1">
      <alignment vertical="top"/>
      <protection locked="0"/>
    </xf>
    <xf numFmtId="5" fontId="3" fillId="0" borderId="7" xfId="0" applyNumberFormat="1" applyFont="1" applyBorder="1" applyAlignment="1" applyProtection="1">
      <alignment vertical="top"/>
      <protection locked="0"/>
    </xf>
    <xf numFmtId="9" fontId="1" fillId="0" borderId="0" xfId="2" applyFont="1" applyFill="1" applyBorder="1" applyAlignment="1" applyProtection="1">
      <alignment vertical="top" wrapText="1"/>
      <protection locked="0"/>
    </xf>
    <xf numFmtId="41" fontId="3" fillId="2" borderId="0" xfId="0" applyNumberFormat="1" applyFont="1" applyFill="1" applyAlignment="1" applyProtection="1">
      <alignment vertical="top"/>
      <protection locked="0"/>
    </xf>
    <xf numFmtId="0" fontId="1" fillId="0" borderId="8" xfId="0" applyNumberFormat="1" applyFont="1" applyBorder="1" applyAlignment="1" applyProtection="1">
      <alignment horizontal="center" vertical="top"/>
      <protection locked="0"/>
    </xf>
    <xf numFmtId="5" fontId="11" fillId="0" borderId="8" xfId="0" applyNumberFormat="1" applyFont="1" applyBorder="1" applyAlignment="1" applyProtection="1">
      <alignment vertical="top" wrapText="1"/>
      <protection locked="0"/>
    </xf>
    <xf numFmtId="5" fontId="1" fillId="0" borderId="8" xfId="0" applyNumberFormat="1" applyFont="1" applyBorder="1" applyAlignment="1" applyProtection="1">
      <alignment vertical="top"/>
      <protection locked="0"/>
    </xf>
    <xf numFmtId="165" fontId="1" fillId="0" borderId="8" xfId="2" applyNumberFormat="1" applyFont="1" applyFill="1" applyBorder="1" applyAlignment="1" applyProtection="1">
      <alignment vertical="top"/>
      <protection locked="0"/>
    </xf>
    <xf numFmtId="9" fontId="1" fillId="0" borderId="8" xfId="2" applyFont="1" applyFill="1" applyBorder="1" applyAlignment="1" applyProtection="1">
      <alignment vertical="top" wrapText="1"/>
      <protection locked="0"/>
    </xf>
    <xf numFmtId="165" fontId="1" fillId="7" borderId="8" xfId="2" applyNumberFormat="1" applyFont="1" applyFill="1" applyBorder="1" applyAlignment="1" applyProtection="1">
      <alignment vertical="top"/>
      <protection locked="0"/>
    </xf>
    <xf numFmtId="41" fontId="1" fillId="7" borderId="8" xfId="2" applyNumberFormat="1" applyFont="1" applyFill="1" applyBorder="1" applyAlignment="1" applyProtection="1">
      <alignment vertical="top"/>
      <protection locked="0"/>
    </xf>
    <xf numFmtId="165" fontId="1" fillId="8" borderId="8" xfId="2" applyNumberFormat="1" applyFont="1" applyFill="1" applyBorder="1" applyAlignment="1" applyProtection="1">
      <alignment vertical="top" wrapText="1"/>
      <protection locked="0"/>
    </xf>
    <xf numFmtId="165" fontId="1" fillId="3" borderId="8" xfId="2" applyNumberFormat="1" applyFont="1" applyFill="1" applyBorder="1" applyAlignment="1" applyProtection="1">
      <alignment vertical="top"/>
      <protection locked="0"/>
    </xf>
    <xf numFmtId="0" fontId="3" fillId="2" borderId="2" xfId="0" applyNumberFormat="1" applyFont="1" applyFill="1" applyBorder="1" applyAlignment="1">
      <alignment horizontal="center" vertical="center" wrapText="1"/>
    </xf>
    <xf numFmtId="5" fontId="15" fillId="2" borderId="3" xfId="0" applyNumberFormat="1" applyFont="1" applyFill="1" applyBorder="1" applyAlignment="1" applyProtection="1">
      <alignment horizontal="center" vertical="center" wrapText="1"/>
      <protection locked="0"/>
    </xf>
    <xf numFmtId="5" fontId="3" fillId="2" borderId="3" xfId="0" applyNumberFormat="1" applyFont="1" applyFill="1" applyBorder="1" applyAlignment="1" applyProtection="1">
      <alignment horizontal="center" vertical="center" wrapText="1"/>
      <protection locked="0"/>
    </xf>
    <xf numFmtId="5" fontId="3" fillId="2" borderId="2" xfId="0" applyNumberFormat="1" applyFont="1" applyFill="1" applyBorder="1" applyAlignment="1" applyProtection="1">
      <alignment horizontal="center" vertical="center" wrapText="1"/>
      <protection locked="0"/>
    </xf>
    <xf numFmtId="0" fontId="10" fillId="11" borderId="9" xfId="0" applyNumberFormat="1" applyFont="1" applyFill="1" applyBorder="1" applyAlignment="1" applyProtection="1">
      <alignment horizontal="center" vertical="center" wrapText="1"/>
      <protection locked="0"/>
    </xf>
    <xf numFmtId="9" fontId="10" fillId="2" borderId="2" xfId="2" applyFont="1" applyFill="1" applyBorder="1" applyAlignment="1" applyProtection="1">
      <alignment horizontal="center" vertical="center" wrapText="1"/>
      <protection locked="0"/>
    </xf>
    <xf numFmtId="0" fontId="10" fillId="0" borderId="2" xfId="0" applyNumberFormat="1" applyFont="1" applyBorder="1" applyAlignment="1" applyProtection="1">
      <alignment horizontal="center" vertical="center" wrapText="1"/>
      <protection locked="0"/>
    </xf>
    <xf numFmtId="41" fontId="10" fillId="7" borderId="2" xfId="0" applyNumberFormat="1" applyFont="1" applyFill="1" applyBorder="1" applyAlignment="1" applyProtection="1">
      <alignment horizontal="center" vertical="center" wrapText="1"/>
      <protection locked="0"/>
    </xf>
    <xf numFmtId="0" fontId="10" fillId="8" borderId="2" xfId="0" applyNumberFormat="1" applyFont="1" applyFill="1" applyBorder="1" applyAlignment="1" applyProtection="1">
      <alignment horizontal="center" vertical="center" wrapText="1"/>
      <protection locked="0"/>
    </xf>
    <xf numFmtId="5" fontId="1" fillId="8" borderId="0" xfId="0" applyNumberFormat="1" applyFont="1" applyFill="1" applyAlignment="1" applyProtection="1">
      <alignment horizontal="center" vertical="center"/>
      <protection locked="0"/>
    </xf>
    <xf numFmtId="165" fontId="12" fillId="8" borderId="0" xfId="2" applyNumberFormat="1" applyFont="1" applyFill="1" applyAlignment="1" applyProtection="1">
      <alignment horizontal="center" vertical="center"/>
      <protection locked="0"/>
    </xf>
    <xf numFmtId="0" fontId="10" fillId="3" borderId="2" xfId="0" applyNumberFormat="1" applyFont="1" applyFill="1" applyBorder="1" applyAlignment="1" applyProtection="1">
      <alignment horizontal="center" vertical="center" wrapText="1"/>
      <protection locked="0"/>
    </xf>
    <xf numFmtId="5" fontId="12" fillId="9" borderId="0" xfId="0" applyNumberFormat="1" applyFont="1" applyFill="1" applyAlignment="1" applyProtection="1">
      <alignment horizontal="center" vertical="center"/>
      <protection locked="0"/>
    </xf>
    <xf numFmtId="5" fontId="1" fillId="0" borderId="0" xfId="0" applyNumberFormat="1" applyFont="1" applyAlignment="1" applyProtection="1">
      <alignment horizontal="center" vertical="center"/>
      <protection locked="0"/>
    </xf>
    <xf numFmtId="5" fontId="17" fillId="0" borderId="0" xfId="0" applyNumberFormat="1" applyFont="1" applyAlignment="1" applyProtection="1">
      <alignment horizontal="center" vertical="top"/>
      <protection locked="0"/>
    </xf>
    <xf numFmtId="165" fontId="17" fillId="0" borderId="0" xfId="2" applyNumberFormat="1" applyFont="1" applyFill="1" applyBorder="1" applyAlignment="1" applyProtection="1">
      <alignment horizontal="center" vertical="top"/>
      <protection locked="0"/>
    </xf>
    <xf numFmtId="9" fontId="17" fillId="0" borderId="0" xfId="2" applyFont="1" applyFill="1" applyBorder="1" applyAlignment="1" applyProtection="1">
      <alignment horizontal="center" vertical="top" wrapText="1"/>
      <protection locked="0"/>
    </xf>
    <xf numFmtId="165" fontId="17" fillId="7" borderId="0" xfId="2" applyNumberFormat="1" applyFont="1" applyFill="1" applyBorder="1" applyAlignment="1" applyProtection="1">
      <alignment horizontal="center" vertical="top"/>
      <protection locked="0"/>
    </xf>
    <xf numFmtId="41" fontId="17" fillId="7" borderId="0" xfId="2" applyNumberFormat="1" applyFont="1" applyFill="1" applyBorder="1" applyAlignment="1" applyProtection="1">
      <alignment horizontal="center" vertical="top"/>
      <protection locked="0"/>
    </xf>
    <xf numFmtId="165" fontId="17" fillId="8" borderId="0" xfId="2" applyNumberFormat="1" applyFont="1" applyFill="1" applyBorder="1" applyAlignment="1" applyProtection="1">
      <alignment horizontal="center" vertical="top" wrapText="1"/>
      <protection locked="0"/>
    </xf>
    <xf numFmtId="165" fontId="17" fillId="3" borderId="0" xfId="2" applyNumberFormat="1" applyFont="1" applyFill="1" applyBorder="1" applyAlignment="1" applyProtection="1">
      <alignment horizontal="center" vertical="top"/>
      <protection locked="0"/>
    </xf>
    <xf numFmtId="5" fontId="3" fillId="2" borderId="0" xfId="0" applyNumberFormat="1" applyFont="1" applyFill="1" applyAlignment="1" applyProtection="1">
      <alignment horizontal="center" vertical="center" wrapText="1"/>
      <protection locked="0"/>
    </xf>
    <xf numFmtId="165" fontId="17" fillId="2" borderId="0" xfId="2" applyNumberFormat="1" applyFont="1" applyFill="1" applyBorder="1" applyAlignment="1" applyProtection="1">
      <alignment horizontal="center" vertical="top"/>
      <protection locked="0"/>
    </xf>
    <xf numFmtId="41" fontId="1" fillId="8" borderId="0" xfId="2" applyNumberFormat="1" applyFont="1" applyFill="1" applyBorder="1" applyAlignment="1" applyProtection="1">
      <alignment vertical="top" wrapText="1"/>
      <protection locked="0"/>
    </xf>
    <xf numFmtId="41" fontId="1" fillId="8" borderId="0" xfId="0" applyNumberFormat="1" applyFont="1" applyFill="1" applyAlignment="1" applyProtection="1">
      <alignment vertical="top" wrapText="1"/>
      <protection locked="0"/>
    </xf>
    <xf numFmtId="41" fontId="1" fillId="8" borderId="0" xfId="2" applyNumberFormat="1" applyFont="1" applyFill="1" applyAlignment="1" applyProtection="1">
      <alignment vertical="top" wrapText="1"/>
      <protection locked="0"/>
    </xf>
    <xf numFmtId="41" fontId="12" fillId="0" borderId="0" xfId="0" applyNumberFormat="1" applyFont="1" applyAlignment="1" applyProtection="1">
      <alignment vertical="top"/>
      <protection locked="0"/>
    </xf>
    <xf numFmtId="41" fontId="1" fillId="12" borderId="0" xfId="0" applyNumberFormat="1" applyFont="1" applyFill="1" applyAlignment="1" applyProtection="1">
      <alignment vertical="top"/>
      <protection locked="0"/>
    </xf>
    <xf numFmtId="165" fontId="12" fillId="8" borderId="0" xfId="2" applyNumberFormat="1" applyFont="1" applyFill="1" applyAlignment="1" applyProtection="1">
      <alignment horizontal="right" vertical="top"/>
      <protection locked="0"/>
    </xf>
    <xf numFmtId="41" fontId="3" fillId="0" borderId="7" xfId="0" applyNumberFormat="1" applyFont="1" applyBorder="1" applyAlignment="1" applyProtection="1">
      <alignment vertical="top" wrapText="1"/>
      <protection locked="0"/>
    </xf>
    <xf numFmtId="5" fontId="3" fillId="0" borderId="0" xfId="0" applyNumberFormat="1" applyFont="1" applyAlignment="1" applyProtection="1">
      <alignment vertical="top"/>
      <protection locked="0"/>
    </xf>
    <xf numFmtId="5" fontId="1" fillId="8" borderId="5" xfId="0" applyNumberFormat="1" applyFont="1" applyFill="1" applyBorder="1" applyAlignment="1" applyProtection="1">
      <alignment vertical="top"/>
      <protection locked="0"/>
    </xf>
    <xf numFmtId="166" fontId="1" fillId="8" borderId="5" xfId="1" applyNumberFormat="1" applyFont="1" applyFill="1" applyBorder="1" applyAlignment="1" applyProtection="1">
      <alignment vertical="top"/>
      <protection locked="0"/>
    </xf>
    <xf numFmtId="5" fontId="1" fillId="8" borderId="7" xfId="0" applyNumberFormat="1" applyFont="1" applyFill="1" applyBorder="1" applyAlignment="1" applyProtection="1">
      <alignment vertical="top"/>
      <protection locked="0"/>
    </xf>
    <xf numFmtId="166" fontId="12" fillId="9" borderId="5" xfId="1" applyNumberFormat="1" applyFont="1" applyFill="1" applyBorder="1" applyAlignment="1" applyProtection="1">
      <alignment vertical="top"/>
      <protection locked="0"/>
    </xf>
    <xf numFmtId="0" fontId="3" fillId="0" borderId="10" xfId="0" applyNumberFormat="1" applyFont="1" applyBorder="1" applyAlignment="1" applyProtection="1">
      <alignment horizontal="center" vertical="top"/>
      <protection locked="0"/>
    </xf>
    <xf numFmtId="5" fontId="15" fillId="0" borderId="10" xfId="0" applyNumberFormat="1" applyFont="1" applyBorder="1" applyAlignment="1" applyProtection="1">
      <alignment vertical="top" wrapText="1"/>
      <protection locked="0"/>
    </xf>
    <xf numFmtId="41" fontId="3" fillId="0" borderId="10" xfId="0" applyNumberFormat="1" applyFont="1" applyBorder="1" applyAlignment="1" applyProtection="1">
      <alignment vertical="top"/>
      <protection locked="0"/>
    </xf>
    <xf numFmtId="41" fontId="3" fillId="0" borderId="10" xfId="0" applyNumberFormat="1" applyFont="1" applyBorder="1" applyAlignment="1" applyProtection="1">
      <alignment vertical="top" wrapText="1"/>
      <protection locked="0"/>
    </xf>
    <xf numFmtId="41" fontId="3" fillId="7" borderId="10" xfId="0" applyNumberFormat="1" applyFont="1" applyFill="1" applyBorder="1" applyAlignment="1" applyProtection="1">
      <alignment vertical="top"/>
      <protection locked="0"/>
    </xf>
    <xf numFmtId="165" fontId="3" fillId="7" borderId="10" xfId="2" applyNumberFormat="1" applyFont="1" applyFill="1" applyBorder="1" applyAlignment="1" applyProtection="1">
      <alignment vertical="top" wrapText="1"/>
      <protection locked="0"/>
    </xf>
    <xf numFmtId="166" fontId="3" fillId="8" borderId="7" xfId="1" applyNumberFormat="1" applyFont="1" applyFill="1" applyBorder="1" applyAlignment="1" applyProtection="1">
      <alignment vertical="top"/>
      <protection locked="0"/>
    </xf>
    <xf numFmtId="5" fontId="3" fillId="8" borderId="0" xfId="0" applyNumberFormat="1" applyFont="1" applyFill="1" applyAlignment="1" applyProtection="1">
      <alignment vertical="top"/>
      <protection locked="0"/>
    </xf>
    <xf numFmtId="41" fontId="3" fillId="2" borderId="10" xfId="0" applyNumberFormat="1" applyFont="1" applyFill="1" applyBorder="1" applyAlignment="1" applyProtection="1">
      <alignment vertical="top"/>
      <protection locked="0"/>
    </xf>
    <xf numFmtId="166" fontId="16" fillId="9" borderId="6" xfId="1" applyNumberFormat="1" applyFont="1" applyFill="1" applyBorder="1" applyAlignment="1" applyProtection="1">
      <alignment vertical="top"/>
      <protection locked="0"/>
    </xf>
    <xf numFmtId="5" fontId="18" fillId="0" borderId="0" xfId="0" applyNumberFormat="1" applyFont="1" applyAlignment="1" applyProtection="1">
      <alignment vertical="top" wrapText="1"/>
      <protection locked="0"/>
    </xf>
    <xf numFmtId="166" fontId="19" fillId="0" borderId="0" xfId="1" applyNumberFormat="1" applyFont="1" applyFill="1" applyBorder="1" applyAlignment="1" applyProtection="1">
      <alignment vertical="top"/>
      <protection locked="0"/>
    </xf>
    <xf numFmtId="41" fontId="3" fillId="0" borderId="6" xfId="0" applyNumberFormat="1" applyFont="1" applyBorder="1" applyAlignment="1" applyProtection="1">
      <alignment vertical="top"/>
      <protection locked="0"/>
    </xf>
    <xf numFmtId="5" fontId="1" fillId="9" borderId="0" xfId="0" applyNumberFormat="1" applyFont="1" applyFill="1" applyAlignment="1" applyProtection="1">
      <alignment vertical="top"/>
      <protection locked="0"/>
    </xf>
    <xf numFmtId="165" fontId="1" fillId="9" borderId="0" xfId="2" applyNumberFormat="1" applyFont="1" applyFill="1" applyBorder="1" applyAlignment="1" applyProtection="1">
      <alignment vertical="top"/>
      <protection locked="0"/>
    </xf>
    <xf numFmtId="164" fontId="11" fillId="0" borderId="0" xfId="0" applyFont="1" applyAlignment="1">
      <alignment wrapText="1"/>
    </xf>
    <xf numFmtId="41" fontId="1" fillId="0" borderId="0" xfId="2" applyNumberFormat="1" applyFont="1" applyFill="1" applyBorder="1" applyAlignment="1" applyProtection="1">
      <alignment vertical="top"/>
      <protection locked="0"/>
    </xf>
    <xf numFmtId="165" fontId="1" fillId="0" borderId="0" xfId="2" applyNumberFormat="1" applyFont="1" applyFill="1" applyAlignment="1" applyProtection="1">
      <alignment vertical="top"/>
      <protection locked="0"/>
    </xf>
    <xf numFmtId="165" fontId="1" fillId="0" borderId="0" xfId="2" applyNumberFormat="1" applyFont="1" applyFill="1" applyAlignment="1" applyProtection="1">
      <alignment vertical="top" wrapText="1"/>
      <protection locked="0"/>
    </xf>
    <xf numFmtId="41" fontId="1" fillId="0" borderId="0" xfId="2" applyNumberFormat="1" applyFont="1" applyFill="1" applyAlignment="1" applyProtection="1">
      <alignment vertical="top"/>
      <protection locked="0"/>
    </xf>
    <xf numFmtId="165" fontId="1" fillId="3" borderId="0" xfId="2" applyNumberFormat="1" applyFont="1" applyFill="1" applyAlignment="1" applyProtection="1">
      <alignment vertical="top"/>
      <protection locked="0"/>
    </xf>
    <xf numFmtId="43" fontId="1" fillId="0" borderId="0" xfId="1" applyFont="1" applyFill="1" applyAlignment="1" applyProtection="1">
      <alignment vertical="top"/>
      <protection locked="0"/>
    </xf>
    <xf numFmtId="165" fontId="1" fillId="0" borderId="0" xfId="2" applyNumberFormat="1" applyFont="1" applyAlignment="1" applyProtection="1">
      <alignment vertical="top" wrapText="1"/>
      <protection locked="0"/>
    </xf>
    <xf numFmtId="41" fontId="1" fillId="0" borderId="0" xfId="2" applyNumberFormat="1" applyFont="1" applyAlignment="1" applyProtection="1">
      <alignment vertical="top"/>
      <protection locked="0"/>
    </xf>
    <xf numFmtId="41" fontId="20" fillId="0" borderId="1" xfId="3" applyNumberFormat="1" applyFont="1" applyFill="1" applyBorder="1" applyAlignment="1" applyProtection="1">
      <alignment horizontal="center" vertical="top"/>
      <protection locked="0"/>
    </xf>
    <xf numFmtId="41" fontId="6" fillId="0" borderId="0" xfId="0" applyNumberFormat="1" applyFont="1" applyAlignment="1" applyProtection="1">
      <alignment vertical="top"/>
      <protection locked="0"/>
    </xf>
    <xf numFmtId="41" fontId="6" fillId="0" borderId="0" xfId="0" applyNumberFormat="1" applyFont="1" applyAlignment="1" applyProtection="1">
      <alignment vertical="top" wrapText="1"/>
      <protection locked="0"/>
    </xf>
    <xf numFmtId="41" fontId="20" fillId="3" borderId="0" xfId="3" applyNumberFormat="1" applyFont="1" applyFill="1" applyBorder="1" applyAlignment="1" applyProtection="1">
      <alignment horizontal="center" vertical="top"/>
      <protection locked="0"/>
    </xf>
    <xf numFmtId="5" fontId="6" fillId="0" borderId="0" xfId="0" applyNumberFormat="1" applyFont="1" applyAlignment="1">
      <alignment vertical="top"/>
    </xf>
    <xf numFmtId="5" fontId="6" fillId="2" borderId="0" xfId="0" applyNumberFormat="1" applyFont="1" applyFill="1" applyAlignment="1">
      <alignment vertical="top"/>
    </xf>
    <xf numFmtId="41" fontId="6" fillId="0" borderId="0" xfId="0" applyNumberFormat="1" applyFont="1" applyAlignment="1">
      <alignment vertical="top"/>
    </xf>
    <xf numFmtId="5" fontId="6" fillId="3" borderId="0" xfId="0" applyNumberFormat="1" applyFont="1" applyFill="1" applyAlignment="1">
      <alignment vertical="top"/>
    </xf>
    <xf numFmtId="41" fontId="21" fillId="4" borderId="0" xfId="3" applyNumberFormat="1" applyFont="1" applyFill="1" applyBorder="1" applyAlignment="1" applyProtection="1">
      <alignment horizontal="center" vertical="top"/>
      <protection locked="0"/>
    </xf>
    <xf numFmtId="41" fontId="20" fillId="0" borderId="0" xfId="3" applyNumberFormat="1" applyFont="1" applyFill="1" applyBorder="1" applyAlignment="1" applyProtection="1">
      <alignment horizontal="center" vertical="top"/>
      <protection locked="0"/>
    </xf>
    <xf numFmtId="41" fontId="7" fillId="0" borderId="0" xfId="0" applyNumberFormat="1" applyFont="1" applyAlignment="1">
      <alignment vertical="top"/>
    </xf>
    <xf numFmtId="41" fontId="6" fillId="0" borderId="0" xfId="0" applyNumberFormat="1" applyFont="1" applyAlignment="1">
      <alignment vertical="top" wrapText="1"/>
    </xf>
    <xf numFmtId="5" fontId="0" fillId="0" borderId="0" xfId="0" applyNumberFormat="1" applyAlignment="1">
      <alignment vertical="top" wrapText="1"/>
    </xf>
    <xf numFmtId="41" fontId="6" fillId="3" borderId="0" xfId="0" applyNumberFormat="1" applyFont="1" applyFill="1" applyAlignment="1">
      <alignment vertical="top"/>
    </xf>
    <xf numFmtId="3" fontId="7" fillId="0" borderId="0" xfId="0" applyNumberFormat="1" applyFont="1" applyAlignment="1">
      <alignment vertical="top" wrapText="1"/>
    </xf>
    <xf numFmtId="41" fontId="10" fillId="0" borderId="0" xfId="0" applyNumberFormat="1" applyFont="1" applyAlignment="1">
      <alignment horizontal="center" vertical="top"/>
    </xf>
    <xf numFmtId="41" fontId="10" fillId="0" borderId="0" xfId="0" applyNumberFormat="1" applyFont="1" applyAlignment="1">
      <alignment horizontal="center" vertical="top" wrapText="1"/>
    </xf>
    <xf numFmtId="3" fontId="0" fillId="0" borderId="0" xfId="0" applyNumberFormat="1" applyAlignment="1">
      <alignment vertical="top"/>
    </xf>
    <xf numFmtId="3" fontId="0" fillId="0" borderId="0" xfId="0" applyNumberFormat="1" applyAlignment="1">
      <alignment vertical="top" wrapText="1"/>
    </xf>
    <xf numFmtId="41" fontId="10" fillId="3" borderId="0" xfId="0" applyNumberFormat="1" applyFont="1" applyFill="1" applyAlignment="1">
      <alignment horizontal="center" vertical="top"/>
    </xf>
    <xf numFmtId="0" fontId="10" fillId="7" borderId="2" xfId="0" applyNumberFormat="1" applyFont="1" applyFill="1" applyBorder="1" applyAlignment="1" applyProtection="1">
      <alignment horizontal="center" vertical="top" wrapText="1"/>
      <protection locked="0"/>
    </xf>
    <xf numFmtId="0" fontId="10" fillId="11" borderId="4" xfId="0" applyNumberFormat="1" applyFont="1" applyFill="1" applyBorder="1" applyAlignment="1" applyProtection="1">
      <alignment horizontal="center" vertical="center" wrapText="1"/>
      <protection locked="0"/>
    </xf>
    <xf numFmtId="41" fontId="10" fillId="8" borderId="11" xfId="0" applyNumberFormat="1" applyFont="1" applyFill="1" applyBorder="1" applyAlignment="1" applyProtection="1">
      <alignment horizontal="center" vertical="center" wrapText="1"/>
      <protection locked="0"/>
    </xf>
    <xf numFmtId="0" fontId="10" fillId="8" borderId="11" xfId="0" applyNumberFormat="1" applyFont="1" applyFill="1" applyBorder="1" applyAlignment="1" applyProtection="1">
      <alignment horizontal="center" vertical="center" wrapText="1"/>
      <protection locked="0"/>
    </xf>
    <xf numFmtId="0" fontId="10" fillId="8" borderId="0" xfId="0" applyNumberFormat="1" applyFont="1" applyFill="1" applyAlignment="1" applyProtection="1">
      <alignment horizontal="center" vertical="center" wrapText="1"/>
      <protection locked="0"/>
    </xf>
    <xf numFmtId="0" fontId="13" fillId="8" borderId="11" xfId="0" applyNumberFormat="1" applyFont="1" applyFill="1" applyBorder="1" applyAlignment="1" applyProtection="1">
      <alignment horizontal="center" vertical="center" wrapText="1"/>
      <protection locked="0"/>
    </xf>
    <xf numFmtId="0" fontId="10" fillId="3" borderId="0" xfId="0" applyNumberFormat="1" applyFont="1" applyFill="1" applyAlignment="1" applyProtection="1">
      <alignment horizontal="center" vertical="center" wrapText="1"/>
      <protection locked="0"/>
    </xf>
    <xf numFmtId="0" fontId="10" fillId="2" borderId="4" xfId="0" applyNumberFormat="1" applyFont="1" applyFill="1" applyBorder="1" applyAlignment="1" applyProtection="1">
      <alignment horizontal="center" vertical="center" wrapText="1"/>
      <protection locked="0"/>
    </xf>
    <xf numFmtId="3" fontId="0" fillId="0" borderId="0" xfId="0" applyNumberFormat="1" applyAlignment="1">
      <alignment vertical="center"/>
    </xf>
    <xf numFmtId="0" fontId="0" fillId="0" borderId="0" xfId="0" applyNumberFormat="1" applyAlignment="1">
      <alignment horizontal="center" vertical="top"/>
    </xf>
    <xf numFmtId="41" fontId="0" fillId="0" borderId="0" xfId="0" applyNumberFormat="1" applyAlignment="1" applyProtection="1">
      <alignment vertical="top"/>
      <protection locked="0"/>
    </xf>
    <xf numFmtId="41" fontId="0" fillId="0" borderId="0" xfId="0" applyNumberFormat="1" applyAlignment="1" applyProtection="1">
      <alignment vertical="top" wrapText="1"/>
      <protection locked="0"/>
    </xf>
    <xf numFmtId="41" fontId="0" fillId="7" borderId="0" xfId="0" applyNumberFormat="1" applyFill="1" applyAlignment="1" applyProtection="1">
      <alignment vertical="top"/>
      <protection locked="0"/>
    </xf>
    <xf numFmtId="41" fontId="0" fillId="8" borderId="0" xfId="0" applyNumberFormat="1" applyFill="1" applyAlignment="1">
      <alignment vertical="top"/>
    </xf>
    <xf numFmtId="5" fontId="0" fillId="8" borderId="0" xfId="0" applyNumberFormat="1" applyFill="1" applyAlignment="1">
      <alignment vertical="top"/>
    </xf>
    <xf numFmtId="5" fontId="0" fillId="8" borderId="0" xfId="0" applyNumberFormat="1" applyFill="1" applyAlignment="1">
      <alignment vertical="top" wrapText="1"/>
    </xf>
    <xf numFmtId="41" fontId="0" fillId="3" borderId="0" xfId="0" applyNumberFormat="1" applyFill="1" applyAlignment="1" applyProtection="1">
      <alignment vertical="top"/>
      <protection locked="0"/>
    </xf>
    <xf numFmtId="5" fontId="0" fillId="2" borderId="0" xfId="0" applyNumberFormat="1" applyFill="1" applyAlignment="1">
      <alignment vertical="top"/>
    </xf>
    <xf numFmtId="5" fontId="5" fillId="0" borderId="0" xfId="0" applyNumberFormat="1" applyFont="1" applyAlignment="1">
      <alignment vertical="top" wrapText="1"/>
    </xf>
    <xf numFmtId="164" fontId="7" fillId="2" borderId="0" xfId="0" applyFont="1" applyFill="1" applyAlignment="1">
      <alignment vertical="top" wrapText="1"/>
    </xf>
    <xf numFmtId="41" fontId="0" fillId="7" borderId="0" xfId="0" applyNumberFormat="1" applyFill="1" applyAlignment="1" applyProtection="1">
      <alignment vertical="top" wrapText="1"/>
      <protection locked="0"/>
    </xf>
    <xf numFmtId="41" fontId="0" fillId="6" borderId="0" xfId="0" applyNumberFormat="1" applyFill="1" applyAlignment="1">
      <alignment vertical="top"/>
    </xf>
    <xf numFmtId="5" fontId="22" fillId="12" borderId="0" xfId="0" applyNumberFormat="1" applyFont="1" applyFill="1" applyAlignment="1">
      <alignment vertical="top" wrapText="1"/>
    </xf>
    <xf numFmtId="164" fontId="7" fillId="0" borderId="0" xfId="0" applyFont="1" applyAlignment="1">
      <alignment vertical="top" wrapText="1"/>
    </xf>
    <xf numFmtId="164" fontId="0" fillId="8" borderId="0" xfId="0" applyFill="1" applyAlignment="1">
      <alignment vertical="top" wrapText="1"/>
    </xf>
    <xf numFmtId="0" fontId="10" fillId="0" borderId="7" xfId="0" applyNumberFormat="1" applyFont="1" applyBorder="1" applyAlignment="1">
      <alignment horizontal="center" vertical="top"/>
    </xf>
    <xf numFmtId="5" fontId="5" fillId="0" borderId="7" xfId="0" applyNumberFormat="1" applyFont="1" applyBorder="1" applyAlignment="1">
      <alignment vertical="top" wrapText="1"/>
    </xf>
    <xf numFmtId="41" fontId="10" fillId="0" borderId="7" xfId="0" applyNumberFormat="1" applyFont="1" applyBorder="1" applyAlignment="1" applyProtection="1">
      <alignment vertical="top"/>
      <protection locked="0"/>
    </xf>
    <xf numFmtId="41" fontId="10" fillId="7" borderId="7" xfId="0" applyNumberFormat="1" applyFont="1" applyFill="1" applyBorder="1" applyAlignment="1" applyProtection="1">
      <alignment vertical="top"/>
      <protection locked="0"/>
    </xf>
    <xf numFmtId="41" fontId="0" fillId="7" borderId="7" xfId="0" applyNumberFormat="1" applyFill="1" applyBorder="1" applyAlignment="1" applyProtection="1">
      <alignment vertical="top" wrapText="1"/>
      <protection locked="0"/>
    </xf>
    <xf numFmtId="41" fontId="10" fillId="8" borderId="7" xfId="0" applyNumberFormat="1" applyFont="1" applyFill="1" applyBorder="1" applyAlignment="1" applyProtection="1">
      <alignment vertical="top"/>
      <protection locked="0"/>
    </xf>
    <xf numFmtId="5" fontId="10" fillId="8" borderId="7" xfId="0" applyNumberFormat="1" applyFont="1" applyFill="1" applyBorder="1" applyAlignment="1">
      <alignment vertical="top" wrapText="1"/>
    </xf>
    <xf numFmtId="41" fontId="10" fillId="3" borderId="7" xfId="0" applyNumberFormat="1" applyFont="1" applyFill="1" applyBorder="1" applyAlignment="1" applyProtection="1">
      <alignment vertical="top"/>
      <protection locked="0"/>
    </xf>
    <xf numFmtId="41" fontId="10" fillId="2" borderId="7" xfId="0" applyNumberFormat="1" applyFont="1" applyFill="1" applyBorder="1" applyAlignment="1" applyProtection="1">
      <alignment vertical="top"/>
      <protection locked="0"/>
    </xf>
    <xf numFmtId="5" fontId="10" fillId="0" borderId="0" xfId="0" applyNumberFormat="1" applyFont="1" applyAlignment="1">
      <alignment vertical="top"/>
    </xf>
    <xf numFmtId="166" fontId="0" fillId="0" borderId="0" xfId="0" applyNumberFormat="1" applyAlignment="1" applyProtection="1">
      <alignment vertical="top"/>
      <protection locked="0"/>
    </xf>
    <xf numFmtId="166" fontId="0" fillId="0" borderId="0" xfId="0" applyNumberFormat="1" applyAlignment="1" applyProtection="1">
      <alignment vertical="top" wrapText="1"/>
      <protection locked="0"/>
    </xf>
    <xf numFmtId="166" fontId="0" fillId="7" borderId="0" xfId="0" applyNumberFormat="1" applyFill="1" applyAlignment="1" applyProtection="1">
      <alignment vertical="top"/>
      <protection locked="0"/>
    </xf>
    <xf numFmtId="166" fontId="0" fillId="7" borderId="0" xfId="0" applyNumberFormat="1" applyFill="1" applyAlignment="1" applyProtection="1">
      <alignment vertical="top" wrapText="1"/>
      <protection locked="0"/>
    </xf>
    <xf numFmtId="166" fontId="0" fillId="3" borderId="0" xfId="0" applyNumberFormat="1" applyFill="1" applyAlignment="1" applyProtection="1">
      <alignment vertical="top"/>
      <protection locked="0"/>
    </xf>
    <xf numFmtId="5" fontId="7" fillId="2" borderId="0" xfId="0" applyNumberFormat="1" applyFont="1" applyFill="1" applyAlignment="1">
      <alignment vertical="top" wrapText="1"/>
    </xf>
    <xf numFmtId="41" fontId="0" fillId="12" borderId="0" xfId="0" applyNumberFormat="1" applyFill="1" applyAlignment="1">
      <alignment vertical="top"/>
    </xf>
    <xf numFmtId="5" fontId="0" fillId="12" borderId="0" xfId="0" applyNumberFormat="1" applyFill="1" applyAlignment="1">
      <alignment vertical="top" wrapText="1"/>
    </xf>
    <xf numFmtId="41" fontId="0" fillId="13" borderId="0" xfId="0" applyNumberFormat="1" applyFill="1" applyAlignment="1">
      <alignment vertical="top"/>
    </xf>
    <xf numFmtId="0" fontId="1" fillId="0" borderId="0" xfId="0" applyNumberFormat="1" applyFont="1" applyAlignment="1">
      <alignment horizontal="center" vertical="top"/>
    </xf>
    <xf numFmtId="37" fontId="11" fillId="0" borderId="0" xfId="0" applyNumberFormat="1" applyFont="1" applyAlignment="1">
      <alignment vertical="top" wrapText="1"/>
    </xf>
    <xf numFmtId="41" fontId="1" fillId="0" borderId="0" xfId="0" applyNumberFormat="1" applyFont="1" applyAlignment="1">
      <alignment vertical="top"/>
    </xf>
    <xf numFmtId="41" fontId="1" fillId="7" borderId="0" xfId="0" applyNumberFormat="1" applyFont="1" applyFill="1" applyAlignment="1">
      <alignment vertical="top"/>
    </xf>
    <xf numFmtId="41" fontId="1" fillId="8" borderId="0" xfId="0" applyNumberFormat="1" applyFont="1" applyFill="1"/>
    <xf numFmtId="164" fontId="1" fillId="8" borderId="0" xfId="0" applyFont="1" applyFill="1" applyAlignment="1">
      <alignment wrapText="1"/>
    </xf>
    <xf numFmtId="164" fontId="1" fillId="0" borderId="0" xfId="0" applyFont="1"/>
    <xf numFmtId="41" fontId="10" fillId="0" borderId="7" xfId="0" applyNumberFormat="1" applyFont="1" applyBorder="1" applyAlignment="1" applyProtection="1">
      <alignment vertical="top" wrapText="1"/>
      <protection locked="0"/>
    </xf>
    <xf numFmtId="41" fontId="1" fillId="7" borderId="7" xfId="0" applyNumberFormat="1" applyFont="1" applyFill="1" applyBorder="1" applyAlignment="1">
      <alignment vertical="top"/>
    </xf>
    <xf numFmtId="41" fontId="0" fillId="2" borderId="0" xfId="0" applyNumberFormat="1" applyFill="1" applyAlignment="1">
      <alignment vertical="top"/>
    </xf>
    <xf numFmtId="41" fontId="0" fillId="8" borderId="0" xfId="0" applyNumberFormat="1" applyFill="1" applyAlignment="1" applyProtection="1">
      <alignment vertical="top"/>
      <protection locked="0"/>
    </xf>
    <xf numFmtId="0" fontId="10" fillId="0" borderId="10" xfId="0" applyNumberFormat="1" applyFont="1" applyBorder="1" applyAlignment="1">
      <alignment horizontal="center" vertical="top"/>
    </xf>
    <xf numFmtId="5" fontId="5" fillId="0" borderId="10" xfId="0" applyNumberFormat="1" applyFont="1" applyBorder="1" applyAlignment="1">
      <alignment vertical="top" wrapText="1"/>
    </xf>
    <xf numFmtId="41" fontId="10" fillId="0" borderId="10" xfId="0" applyNumberFormat="1" applyFont="1" applyBorder="1" applyAlignment="1">
      <alignment vertical="top"/>
    </xf>
    <xf numFmtId="41" fontId="10" fillId="7" borderId="10" xfId="0" applyNumberFormat="1" applyFont="1" applyFill="1" applyBorder="1" applyAlignment="1">
      <alignment vertical="top"/>
    </xf>
    <xf numFmtId="41" fontId="10" fillId="8" borderId="10" xfId="0" applyNumberFormat="1" applyFont="1" applyFill="1" applyBorder="1" applyAlignment="1">
      <alignment vertical="top"/>
    </xf>
    <xf numFmtId="5" fontId="10" fillId="8" borderId="10" xfId="0" applyNumberFormat="1" applyFont="1" applyFill="1" applyBorder="1" applyAlignment="1">
      <alignment vertical="top" wrapText="1"/>
    </xf>
    <xf numFmtId="41" fontId="10" fillId="3" borderId="10" xfId="0" applyNumberFormat="1" applyFont="1" applyFill="1" applyBorder="1" applyAlignment="1">
      <alignment vertical="top"/>
    </xf>
    <xf numFmtId="41" fontId="10" fillId="2" borderId="10" xfId="0" applyNumberFormat="1" applyFont="1" applyFill="1" applyBorder="1" applyAlignment="1">
      <alignment vertical="top"/>
    </xf>
    <xf numFmtId="5" fontId="10" fillId="0" borderId="10" xfId="0" applyNumberFormat="1" applyFont="1" applyBorder="1" applyAlignment="1">
      <alignment vertical="top"/>
    </xf>
    <xf numFmtId="41" fontId="0" fillId="0" borderId="0" xfId="0" applyNumberFormat="1" applyAlignment="1">
      <alignment vertical="top" wrapText="1"/>
    </xf>
    <xf numFmtId="41" fontId="0" fillId="3" borderId="0" xfId="0" applyNumberFormat="1" applyFill="1" applyAlignment="1">
      <alignment vertical="top"/>
    </xf>
    <xf numFmtId="164" fontId="0" fillId="0" borderId="0" xfId="0" applyAlignment="1">
      <alignment vertical="top"/>
    </xf>
    <xf numFmtId="3" fontId="23" fillId="0" borderId="0" xfId="0" applyNumberFormat="1" applyFont="1" applyAlignment="1">
      <alignment vertical="top"/>
    </xf>
    <xf numFmtId="3" fontId="23" fillId="0" borderId="0" xfId="0" applyNumberFormat="1" applyFont="1" applyAlignment="1">
      <alignment vertical="top" wrapText="1"/>
    </xf>
    <xf numFmtId="3" fontId="23" fillId="3" borderId="0" xfId="0" applyNumberFormat="1" applyFont="1" applyFill="1" applyAlignment="1">
      <alignment vertical="top"/>
    </xf>
    <xf numFmtId="3" fontId="0" fillId="3" borderId="0" xfId="0" applyNumberFormat="1" applyFill="1" applyAlignment="1">
      <alignment vertical="top"/>
    </xf>
    <xf numFmtId="5" fontId="7" fillId="0" borderId="0" xfId="0" applyNumberFormat="1" applyFont="1" applyAlignment="1">
      <alignment vertical="top"/>
    </xf>
    <xf numFmtId="5" fontId="6" fillId="2" borderId="0" xfId="0" applyNumberFormat="1" applyFont="1" applyFill="1" applyAlignment="1">
      <alignment vertical="top" wrapText="1"/>
    </xf>
    <xf numFmtId="5" fontId="6" fillId="5" borderId="0" xfId="0" applyNumberFormat="1" applyFont="1" applyFill="1" applyAlignment="1">
      <alignment vertical="top"/>
    </xf>
    <xf numFmtId="5" fontId="6" fillId="0" borderId="0" xfId="0" applyNumberFormat="1" applyFont="1" applyAlignment="1">
      <alignment vertical="top" wrapText="1"/>
    </xf>
    <xf numFmtId="41" fontId="7" fillId="0" borderId="0" xfId="0" applyNumberFormat="1" applyFont="1" applyAlignment="1">
      <alignment vertical="top" wrapText="1"/>
    </xf>
    <xf numFmtId="37" fontId="6" fillId="6" borderId="0" xfId="0" applyNumberFormat="1" applyFont="1" applyFill="1" applyAlignment="1">
      <alignment vertical="top"/>
    </xf>
    <xf numFmtId="37" fontId="6" fillId="0" borderId="0" xfId="0" applyNumberFormat="1" applyFont="1" applyAlignment="1">
      <alignment vertical="top"/>
    </xf>
    <xf numFmtId="37" fontId="6" fillId="0" borderId="0" xfId="0" applyNumberFormat="1" applyFont="1" applyAlignment="1">
      <alignment vertical="top" wrapText="1"/>
    </xf>
    <xf numFmtId="41" fontId="6" fillId="3" borderId="0" xfId="0" applyNumberFormat="1" applyFont="1" applyFill="1" applyAlignment="1">
      <alignment vertical="top" wrapText="1"/>
    </xf>
    <xf numFmtId="0" fontId="3" fillId="0" borderId="0" xfId="0" applyNumberFormat="1" applyFont="1" applyAlignment="1">
      <alignment horizontal="left" vertical="top"/>
    </xf>
    <xf numFmtId="3" fontId="11" fillId="0" borderId="0" xfId="0" applyNumberFormat="1" applyFont="1" applyAlignment="1">
      <alignment vertical="top"/>
    </xf>
    <xf numFmtId="41" fontId="24" fillId="0" borderId="0" xfId="0" applyNumberFormat="1" applyFont="1" applyAlignment="1">
      <alignment horizontal="center" vertical="top"/>
    </xf>
    <xf numFmtId="41" fontId="24" fillId="0" borderId="0" xfId="0" applyNumberFormat="1" applyFont="1" applyAlignment="1">
      <alignment horizontal="center" vertical="top" wrapText="1"/>
    </xf>
    <xf numFmtId="3" fontId="1" fillId="0" borderId="0" xfId="0" applyNumberFormat="1" applyFont="1" applyAlignment="1">
      <alignment vertical="top"/>
    </xf>
    <xf numFmtId="3" fontId="1" fillId="0" borderId="0" xfId="0" applyNumberFormat="1" applyFont="1" applyAlignment="1">
      <alignment vertical="top" wrapText="1"/>
    </xf>
    <xf numFmtId="41" fontId="24" fillId="3" borderId="0" xfId="0" applyNumberFormat="1" applyFont="1" applyFill="1" applyAlignment="1">
      <alignment horizontal="center" vertical="top"/>
    </xf>
    <xf numFmtId="0" fontId="10" fillId="7" borderId="2" xfId="0" applyNumberFormat="1" applyFont="1" applyFill="1" applyBorder="1" applyAlignment="1">
      <alignment horizontal="center" vertical="top" wrapText="1"/>
    </xf>
    <xf numFmtId="3" fontId="5" fillId="7" borderId="3" xfId="0" applyNumberFormat="1" applyFont="1" applyFill="1" applyBorder="1" applyAlignment="1">
      <alignment horizontal="center" vertical="top"/>
    </xf>
    <xf numFmtId="5" fontId="10" fillId="7" borderId="3" xfId="0" applyNumberFormat="1" applyFont="1" applyFill="1" applyBorder="1" applyAlignment="1" applyProtection="1">
      <alignment horizontal="center" vertical="top" wrapText="1"/>
      <protection locked="0"/>
    </xf>
    <xf numFmtId="5" fontId="10" fillId="7" borderId="2" xfId="0" applyNumberFormat="1" applyFont="1" applyFill="1" applyBorder="1" applyAlignment="1" applyProtection="1">
      <alignment horizontal="center" vertical="top" wrapText="1"/>
      <protection locked="0"/>
    </xf>
    <xf numFmtId="0" fontId="10" fillId="7" borderId="4" xfId="0" applyNumberFormat="1" applyFont="1" applyFill="1" applyBorder="1" applyAlignment="1" applyProtection="1">
      <alignment horizontal="center" vertical="top" wrapText="1"/>
      <protection locked="0"/>
    </xf>
    <xf numFmtId="0" fontId="10" fillId="11" borderId="4" xfId="0" applyNumberFormat="1" applyFont="1" applyFill="1" applyBorder="1" applyAlignment="1" applyProtection="1">
      <alignment horizontal="center" vertical="top" wrapText="1"/>
      <protection locked="0"/>
    </xf>
    <xf numFmtId="0" fontId="10" fillId="8" borderId="11" xfId="0" applyNumberFormat="1" applyFont="1" applyFill="1" applyBorder="1" applyAlignment="1" applyProtection="1">
      <alignment horizontal="center" vertical="top" wrapText="1"/>
      <protection locked="0"/>
    </xf>
    <xf numFmtId="41" fontId="10" fillId="8" borderId="11" xfId="0" applyNumberFormat="1" applyFont="1" applyFill="1" applyBorder="1" applyAlignment="1" applyProtection="1">
      <alignment horizontal="center" vertical="top" wrapText="1"/>
      <protection locked="0"/>
    </xf>
    <xf numFmtId="0" fontId="10" fillId="0" borderId="4" xfId="0" applyNumberFormat="1" applyFont="1" applyBorder="1" applyAlignment="1" applyProtection="1">
      <alignment horizontal="center" vertical="top" wrapText="1"/>
      <protection locked="0"/>
    </xf>
    <xf numFmtId="0" fontId="10" fillId="8" borderId="0" xfId="0" applyNumberFormat="1" applyFont="1" applyFill="1" applyAlignment="1" applyProtection="1">
      <alignment horizontal="center" vertical="top" wrapText="1"/>
      <protection locked="0"/>
    </xf>
    <xf numFmtId="0" fontId="10" fillId="3" borderId="0" xfId="0" applyNumberFormat="1" applyFont="1" applyFill="1" applyAlignment="1" applyProtection="1">
      <alignment horizontal="center" vertical="top" wrapText="1"/>
      <protection locked="0"/>
    </xf>
    <xf numFmtId="41" fontId="10" fillId="2" borderId="4" xfId="0" applyNumberFormat="1" applyFont="1" applyFill="1" applyBorder="1" applyAlignment="1" applyProtection="1">
      <alignment horizontal="center" vertical="top" wrapText="1"/>
      <protection locked="0"/>
    </xf>
    <xf numFmtId="0" fontId="3" fillId="0" borderId="0" xfId="0" applyNumberFormat="1" applyFont="1" applyAlignment="1">
      <alignment horizontal="center" vertical="top"/>
    </xf>
    <xf numFmtId="37" fontId="15" fillId="0" borderId="0" xfId="0" applyNumberFormat="1" applyFont="1" applyAlignment="1">
      <alignment vertical="top"/>
    </xf>
    <xf numFmtId="37" fontId="1" fillId="8" borderId="0" xfId="0" applyNumberFormat="1" applyFont="1" applyFill="1" applyAlignment="1">
      <alignment vertical="top"/>
    </xf>
    <xf numFmtId="41" fontId="1" fillId="8" borderId="0" xfId="0" applyNumberFormat="1" applyFont="1" applyFill="1" applyAlignment="1">
      <alignment vertical="top"/>
    </xf>
    <xf numFmtId="37" fontId="1" fillId="8" borderId="0" xfId="0" applyNumberFormat="1" applyFont="1" applyFill="1" applyAlignment="1">
      <alignment vertical="top" wrapText="1"/>
    </xf>
    <xf numFmtId="41" fontId="1" fillId="3" borderId="0" xfId="0" applyNumberFormat="1" applyFont="1" applyFill="1" applyAlignment="1" applyProtection="1">
      <alignment vertical="top" wrapText="1"/>
      <protection locked="0"/>
    </xf>
    <xf numFmtId="41" fontId="1" fillId="2" borderId="0" xfId="0" applyNumberFormat="1" applyFont="1" applyFill="1" applyAlignment="1">
      <alignment vertical="top"/>
    </xf>
    <xf numFmtId="37" fontId="1" fillId="0" borderId="0" xfId="0" applyNumberFormat="1" applyFont="1" applyAlignment="1">
      <alignment vertical="top"/>
    </xf>
    <xf numFmtId="37" fontId="11" fillId="0" borderId="0" xfId="0" applyNumberFormat="1" applyFont="1" applyAlignment="1">
      <alignment vertical="top"/>
    </xf>
    <xf numFmtId="41" fontId="1" fillId="0" borderId="0" xfId="0" applyNumberFormat="1" applyFont="1" applyAlignment="1">
      <alignment vertical="top" wrapText="1"/>
    </xf>
    <xf numFmtId="41" fontId="1" fillId="7" borderId="0" xfId="0" applyNumberFormat="1" applyFont="1" applyFill="1" applyAlignment="1">
      <alignment vertical="top" wrapText="1"/>
    </xf>
    <xf numFmtId="41" fontId="1" fillId="3" borderId="0" xfId="0" applyNumberFormat="1" applyFont="1" applyFill="1" applyAlignment="1">
      <alignment vertical="top" wrapText="1"/>
    </xf>
    <xf numFmtId="37" fontId="11" fillId="2" borderId="0" xfId="0" applyNumberFormat="1" applyFont="1" applyFill="1" applyAlignment="1">
      <alignment vertical="top" wrapText="1"/>
    </xf>
    <xf numFmtId="37" fontId="1" fillId="12" borderId="0" xfId="0" applyNumberFormat="1" applyFont="1" applyFill="1" applyAlignment="1">
      <alignment vertical="top"/>
    </xf>
    <xf numFmtId="37" fontId="1" fillId="12" borderId="0" xfId="0" applyNumberFormat="1" applyFont="1" applyFill="1" applyAlignment="1">
      <alignment vertical="top" wrapText="1"/>
    </xf>
    <xf numFmtId="41" fontId="3" fillId="0" borderId="0" xfId="0" applyNumberFormat="1" applyFont="1" applyAlignment="1">
      <alignment vertical="top" wrapText="1"/>
    </xf>
    <xf numFmtId="41" fontId="3" fillId="7" borderId="0" xfId="0" applyNumberFormat="1" applyFont="1" applyFill="1" applyAlignment="1">
      <alignment vertical="top" wrapText="1"/>
    </xf>
    <xf numFmtId="37" fontId="3" fillId="8" borderId="0" xfId="0" applyNumberFormat="1" applyFont="1" applyFill="1" applyAlignment="1">
      <alignment vertical="top"/>
    </xf>
    <xf numFmtId="37" fontId="3" fillId="8" borderId="0" xfId="0" applyNumberFormat="1" applyFont="1" applyFill="1" applyAlignment="1">
      <alignment vertical="top" wrapText="1"/>
    </xf>
    <xf numFmtId="37" fontId="3" fillId="0" borderId="0" xfId="0" applyNumberFormat="1" applyFont="1" applyAlignment="1">
      <alignment vertical="top"/>
    </xf>
    <xf numFmtId="37" fontId="1" fillId="6" borderId="0" xfId="0" applyNumberFormat="1" applyFont="1" applyFill="1" applyAlignment="1">
      <alignment vertical="top"/>
    </xf>
    <xf numFmtId="0" fontId="1" fillId="7" borderId="0" xfId="0" applyNumberFormat="1" applyFont="1" applyFill="1" applyAlignment="1">
      <alignment vertical="top" wrapText="1"/>
    </xf>
    <xf numFmtId="0" fontId="3" fillId="0" borderId="7" xfId="0" applyNumberFormat="1" applyFont="1" applyBorder="1" applyAlignment="1">
      <alignment horizontal="center" vertical="top"/>
    </xf>
    <xf numFmtId="37" fontId="15" fillId="2" borderId="7" xfId="0" applyNumberFormat="1" applyFont="1" applyFill="1" applyBorder="1" applyAlignment="1">
      <alignment vertical="top" wrapText="1"/>
    </xf>
    <xf numFmtId="41" fontId="3" fillId="0" borderId="7" xfId="0" applyNumberFormat="1" applyFont="1" applyBorder="1" applyAlignment="1">
      <alignment vertical="top" wrapText="1"/>
    </xf>
    <xf numFmtId="41" fontId="3" fillId="7" borderId="7" xfId="0" applyNumberFormat="1" applyFont="1" applyFill="1" applyBorder="1" applyAlignment="1">
      <alignment vertical="top" wrapText="1"/>
    </xf>
    <xf numFmtId="41" fontId="3" fillId="8" borderId="7" xfId="0" applyNumberFormat="1" applyFont="1" applyFill="1" applyBorder="1" applyAlignment="1">
      <alignment vertical="top" wrapText="1"/>
    </xf>
    <xf numFmtId="41" fontId="3" fillId="3" borderId="7" xfId="0" applyNumberFormat="1" applyFont="1" applyFill="1" applyBorder="1" applyAlignment="1">
      <alignment vertical="top" wrapText="1"/>
    </xf>
    <xf numFmtId="41" fontId="3" fillId="2" borderId="7" xfId="0" applyNumberFormat="1" applyFont="1" applyFill="1" applyBorder="1" applyAlignment="1">
      <alignment vertical="top" wrapText="1"/>
    </xf>
    <xf numFmtId="41" fontId="3" fillId="8" borderId="0" xfId="0" applyNumberFormat="1" applyFont="1" applyFill="1" applyAlignment="1">
      <alignment vertical="top"/>
    </xf>
    <xf numFmtId="41" fontId="3" fillId="2" borderId="0" xfId="0" applyNumberFormat="1" applyFont="1" applyFill="1" applyAlignment="1">
      <alignment vertical="top"/>
    </xf>
    <xf numFmtId="166" fontId="11" fillId="0" borderId="0" xfId="0" applyNumberFormat="1" applyFont="1" applyAlignment="1" applyProtection="1">
      <alignment vertical="top" wrapText="1"/>
      <protection locked="0"/>
    </xf>
    <xf numFmtId="166" fontId="1" fillId="7" borderId="0" xfId="0" applyNumberFormat="1" applyFont="1" applyFill="1" applyAlignment="1" applyProtection="1">
      <alignment vertical="top" wrapText="1"/>
      <protection locked="0"/>
    </xf>
    <xf numFmtId="166" fontId="1" fillId="3" borderId="0" xfId="0" applyNumberFormat="1" applyFont="1" applyFill="1" applyAlignment="1" applyProtection="1">
      <alignment vertical="top" wrapText="1"/>
      <protection locked="0"/>
    </xf>
    <xf numFmtId="37" fontId="1" fillId="13" borderId="0" xfId="0" applyNumberFormat="1" applyFont="1" applyFill="1" applyAlignment="1">
      <alignment vertical="top"/>
    </xf>
    <xf numFmtId="37" fontId="11" fillId="8" borderId="0" xfId="0" applyNumberFormat="1" applyFont="1" applyFill="1" applyAlignment="1">
      <alignment vertical="top" wrapText="1"/>
    </xf>
    <xf numFmtId="43" fontId="1" fillId="7" borderId="0" xfId="0" applyNumberFormat="1" applyFont="1" applyFill="1" applyAlignment="1" applyProtection="1">
      <alignment vertical="top" wrapText="1"/>
      <protection locked="0"/>
    </xf>
    <xf numFmtId="166" fontId="11" fillId="14" borderId="0" xfId="0" applyNumberFormat="1" applyFont="1" applyFill="1" applyAlignment="1" applyProtection="1">
      <alignment vertical="top" wrapText="1"/>
      <protection locked="0"/>
    </xf>
    <xf numFmtId="37" fontId="2" fillId="12" borderId="0" xfId="0" applyNumberFormat="1" applyFont="1" applyFill="1" applyAlignment="1">
      <alignment vertical="top" wrapText="1"/>
    </xf>
    <xf numFmtId="37" fontId="11" fillId="12" borderId="0" xfId="0" applyNumberFormat="1" applyFont="1" applyFill="1" applyAlignment="1">
      <alignment vertical="top" wrapText="1"/>
    </xf>
    <xf numFmtId="37" fontId="2" fillId="8" borderId="0" xfId="0" applyNumberFormat="1" applyFont="1" applyFill="1" applyAlignment="1">
      <alignment vertical="top" wrapText="1"/>
    </xf>
    <xf numFmtId="0" fontId="1" fillId="7" borderId="0" xfId="0" applyNumberFormat="1" applyFont="1" applyFill="1" applyAlignment="1" applyProtection="1">
      <alignment vertical="top" wrapText="1"/>
      <protection locked="0"/>
    </xf>
    <xf numFmtId="166" fontId="1" fillId="2" borderId="0" xfId="0" applyNumberFormat="1" applyFont="1" applyFill="1" applyAlignment="1" applyProtection="1">
      <alignment vertical="top" wrapText="1"/>
      <protection locked="0"/>
    </xf>
    <xf numFmtId="166" fontId="25" fillId="2" borderId="0" xfId="0" applyNumberFormat="1" applyFont="1" applyFill="1" applyAlignment="1" applyProtection="1">
      <alignment vertical="top" wrapText="1"/>
      <protection locked="0"/>
    </xf>
    <xf numFmtId="37" fontId="1" fillId="2" borderId="0" xfId="0" applyNumberFormat="1" applyFont="1" applyFill="1" applyAlignment="1">
      <alignment vertical="top"/>
    </xf>
    <xf numFmtId="37" fontId="1" fillId="2" borderId="0" xfId="0" applyNumberFormat="1" applyFont="1" applyFill="1" applyAlignment="1">
      <alignment vertical="top" wrapText="1"/>
    </xf>
    <xf numFmtId="37" fontId="1" fillId="7" borderId="0" xfId="0" applyNumberFormat="1" applyFont="1" applyFill="1" applyAlignment="1">
      <alignment horizontal="left" vertical="top" wrapText="1"/>
    </xf>
    <xf numFmtId="166" fontId="25" fillId="7" borderId="0" xfId="0" applyNumberFormat="1" applyFont="1" applyFill="1" applyAlignment="1" applyProtection="1">
      <alignment vertical="top" wrapText="1"/>
      <protection locked="0"/>
    </xf>
    <xf numFmtId="166" fontId="1" fillId="8" borderId="0" xfId="0" applyNumberFormat="1" applyFont="1" applyFill="1" applyAlignment="1" applyProtection="1">
      <alignment vertical="top" wrapText="1"/>
      <protection locked="0"/>
    </xf>
    <xf numFmtId="37" fontId="15" fillId="0" borderId="7" xfId="0" applyNumberFormat="1" applyFont="1" applyBorder="1" applyAlignment="1">
      <alignment vertical="top"/>
    </xf>
    <xf numFmtId="41" fontId="3" fillId="7" borderId="7" xfId="0" applyNumberFormat="1" applyFont="1" applyFill="1" applyBorder="1" applyAlignment="1" applyProtection="1">
      <alignment vertical="top" wrapText="1"/>
      <protection locked="0"/>
    </xf>
    <xf numFmtId="41" fontId="3" fillId="8" borderId="7" xfId="0" applyNumberFormat="1" applyFont="1" applyFill="1" applyBorder="1" applyAlignment="1" applyProtection="1">
      <alignment vertical="top" wrapText="1"/>
      <protection locked="0"/>
    </xf>
    <xf numFmtId="41" fontId="3" fillId="3" borderId="7" xfId="0" applyNumberFormat="1" applyFont="1" applyFill="1" applyBorder="1" applyAlignment="1" applyProtection="1">
      <alignment vertical="top" wrapText="1"/>
      <protection locked="0"/>
    </xf>
    <xf numFmtId="41" fontId="3" fillId="2" borderId="7" xfId="0" applyNumberFormat="1" applyFont="1" applyFill="1" applyBorder="1" applyAlignment="1" applyProtection="1">
      <alignment vertical="top" wrapText="1"/>
      <protection locked="0"/>
    </xf>
    <xf numFmtId="37" fontId="15" fillId="0" borderId="0" xfId="0" applyNumberFormat="1" applyFont="1" applyAlignment="1">
      <alignment vertical="top" wrapText="1"/>
    </xf>
    <xf numFmtId="41" fontId="1" fillId="3" borderId="0" xfId="0" applyNumberFormat="1" applyFont="1" applyFill="1" applyAlignment="1">
      <alignment vertical="top"/>
    </xf>
    <xf numFmtId="41" fontId="11" fillId="0" borderId="0" xfId="0" applyNumberFormat="1" applyFont="1" applyAlignment="1" applyProtection="1">
      <alignment vertical="top"/>
      <protection locked="0"/>
    </xf>
    <xf numFmtId="41" fontId="11" fillId="0" borderId="0" xfId="0" applyNumberFormat="1" applyFont="1" applyAlignment="1" applyProtection="1">
      <alignment horizontal="right" vertical="top"/>
      <protection locked="0"/>
    </xf>
    <xf numFmtId="41" fontId="11" fillId="0" borderId="0" xfId="0" applyNumberFormat="1" applyFont="1" applyAlignment="1" applyProtection="1">
      <alignment vertical="top" wrapText="1"/>
      <protection locked="0"/>
    </xf>
    <xf numFmtId="41" fontId="11" fillId="7" borderId="0" xfId="0" applyNumberFormat="1" applyFont="1" applyFill="1" applyAlignment="1" applyProtection="1">
      <alignment vertical="top"/>
      <protection locked="0"/>
    </xf>
    <xf numFmtId="164" fontId="1" fillId="7" borderId="0" xfId="0" applyFont="1" applyFill="1" applyAlignment="1">
      <alignment vertical="top" wrapText="1"/>
    </xf>
    <xf numFmtId="41" fontId="11" fillId="3" borderId="0" xfId="0" applyNumberFormat="1" applyFont="1" applyFill="1" applyAlignment="1" applyProtection="1">
      <alignment vertical="top"/>
      <protection locked="0"/>
    </xf>
    <xf numFmtId="164" fontId="11" fillId="0" borderId="0" xfId="0" applyFont="1" applyAlignment="1">
      <alignment vertical="top" wrapText="1"/>
    </xf>
    <xf numFmtId="37" fontId="1" fillId="7" borderId="0" xfId="0" applyNumberFormat="1" applyFont="1" applyFill="1" applyAlignment="1">
      <alignment vertical="top" wrapText="1"/>
    </xf>
    <xf numFmtId="37" fontId="7" fillId="2" borderId="11" xfId="0" applyNumberFormat="1" applyFont="1" applyFill="1" applyBorder="1" applyAlignment="1">
      <alignment vertical="top" wrapText="1"/>
    </xf>
    <xf numFmtId="37" fontId="1" fillId="7" borderId="0" xfId="0" applyNumberFormat="1" applyFont="1" applyFill="1" applyAlignment="1">
      <alignment vertical="top"/>
    </xf>
    <xf numFmtId="0" fontId="3" fillId="0" borderId="6" xfId="0" applyNumberFormat="1" applyFont="1" applyBorder="1" applyAlignment="1">
      <alignment horizontal="center" vertical="top"/>
    </xf>
    <xf numFmtId="37" fontId="15" fillId="0" borderId="6" xfId="0" applyNumberFormat="1" applyFont="1" applyBorder="1" applyAlignment="1">
      <alignment vertical="top" wrapText="1"/>
    </xf>
    <xf numFmtId="41" fontId="3" fillId="0" borderId="6" xfId="0" applyNumberFormat="1" applyFont="1" applyBorder="1" applyAlignment="1">
      <alignment vertical="top"/>
    </xf>
    <xf numFmtId="41" fontId="1" fillId="0" borderId="6" xfId="0" applyNumberFormat="1" applyFont="1" applyBorder="1" applyAlignment="1">
      <alignment vertical="top" wrapText="1"/>
    </xf>
    <xf numFmtId="41" fontId="3" fillId="7" borderId="6" xfId="0" applyNumberFormat="1" applyFont="1" applyFill="1" applyBorder="1" applyAlignment="1">
      <alignment vertical="top"/>
    </xf>
    <xf numFmtId="41" fontId="3" fillId="8" borderId="6" xfId="0" applyNumberFormat="1" applyFont="1" applyFill="1" applyBorder="1" applyAlignment="1">
      <alignment vertical="top"/>
    </xf>
    <xf numFmtId="41" fontId="3" fillId="8" borderId="6" xfId="0" applyNumberFormat="1" applyFont="1" applyFill="1" applyBorder="1" applyAlignment="1">
      <alignment vertical="top" wrapText="1"/>
    </xf>
    <xf numFmtId="41" fontId="3" fillId="3" borderId="6" xfId="0" applyNumberFormat="1" applyFont="1" applyFill="1" applyBorder="1" applyAlignment="1">
      <alignment vertical="top"/>
    </xf>
    <xf numFmtId="41" fontId="3" fillId="2" borderId="6" xfId="0" applyNumberFormat="1" applyFont="1" applyFill="1" applyBorder="1" applyAlignment="1">
      <alignment vertical="top"/>
    </xf>
    <xf numFmtId="37" fontId="1" fillId="7" borderId="6" xfId="0" applyNumberFormat="1" applyFont="1" applyFill="1" applyBorder="1" applyAlignment="1">
      <alignment vertical="top"/>
    </xf>
    <xf numFmtId="37" fontId="3" fillId="0" borderId="6" xfId="0" applyNumberFormat="1" applyFont="1" applyBorder="1" applyAlignment="1">
      <alignment vertical="top"/>
    </xf>
    <xf numFmtId="164" fontId="1" fillId="7" borderId="0" xfId="0" applyFont="1" applyFill="1" applyAlignment="1">
      <alignment horizontal="left" vertical="top" wrapText="1"/>
    </xf>
    <xf numFmtId="0" fontId="1" fillId="7" borderId="0" xfId="2" quotePrefix="1" applyNumberFormat="1" applyFont="1" applyFill="1" applyBorder="1" applyAlignment="1" applyProtection="1">
      <alignment vertical="top" wrapText="1"/>
      <protection locked="0"/>
    </xf>
    <xf numFmtId="41" fontId="15" fillId="0" borderId="6" xfId="0" applyNumberFormat="1" applyFont="1" applyBorder="1" applyAlignment="1" applyProtection="1">
      <alignment vertical="top"/>
      <protection locked="0"/>
    </xf>
    <xf numFmtId="41" fontId="15" fillId="7" borderId="6" xfId="0" applyNumberFormat="1" applyFont="1" applyFill="1" applyBorder="1" applyAlignment="1" applyProtection="1">
      <alignment vertical="top"/>
      <protection locked="0"/>
    </xf>
    <xf numFmtId="41" fontId="1" fillId="7" borderId="6" xfId="0" applyNumberFormat="1" applyFont="1" applyFill="1" applyBorder="1" applyAlignment="1">
      <alignment vertical="top" wrapText="1"/>
    </xf>
    <xf numFmtId="41" fontId="15" fillId="8" borderId="6" xfId="0" applyNumberFormat="1" applyFont="1" applyFill="1" applyBorder="1" applyAlignment="1" applyProtection="1">
      <alignment vertical="top"/>
      <protection locked="0"/>
    </xf>
    <xf numFmtId="41" fontId="15" fillId="8" borderId="0" xfId="0" applyNumberFormat="1" applyFont="1" applyFill="1" applyAlignment="1" applyProtection="1">
      <alignment vertical="top"/>
      <protection locked="0"/>
    </xf>
    <xf numFmtId="41" fontId="15" fillId="3" borderId="6" xfId="0" applyNumberFormat="1" applyFont="1" applyFill="1" applyBorder="1" applyAlignment="1" applyProtection="1">
      <alignment vertical="top"/>
      <protection locked="0"/>
    </xf>
    <xf numFmtId="41" fontId="15" fillId="2" borderId="0" xfId="0" applyNumberFormat="1" applyFont="1" applyFill="1" applyAlignment="1" applyProtection="1">
      <alignment vertical="top"/>
      <protection locked="0"/>
    </xf>
    <xf numFmtId="0" fontId="0" fillId="7" borderId="11" xfId="4" quotePrefix="1" applyNumberFormat="1" applyFont="1" applyFill="1" applyBorder="1" applyAlignment="1" applyProtection="1">
      <alignment vertical="top" wrapText="1"/>
      <protection locked="0"/>
    </xf>
    <xf numFmtId="164" fontId="11" fillId="2" borderId="0" xfId="0" applyFont="1" applyFill="1" applyAlignment="1">
      <alignment vertical="top" wrapText="1"/>
    </xf>
    <xf numFmtId="0" fontId="0" fillId="7" borderId="0" xfId="4" quotePrefix="1" applyNumberFormat="1" applyFont="1" applyFill="1" applyBorder="1" applyAlignment="1" applyProtection="1">
      <alignment vertical="top" wrapText="1"/>
      <protection locked="0"/>
    </xf>
    <xf numFmtId="164" fontId="11" fillId="3" borderId="0" xfId="0" applyFont="1" applyFill="1" applyAlignment="1">
      <alignment vertical="top" wrapText="1"/>
    </xf>
    <xf numFmtId="37" fontId="7" fillId="0" borderId="0" xfId="0" applyNumberFormat="1" applyFont="1" applyAlignment="1">
      <alignment vertical="top" wrapText="1"/>
    </xf>
    <xf numFmtId="37" fontId="7" fillId="2" borderId="0" xfId="0" applyNumberFormat="1" applyFont="1" applyFill="1" applyAlignment="1">
      <alignment vertical="top" wrapText="1"/>
    </xf>
    <xf numFmtId="164" fontId="0" fillId="7" borderId="0" xfId="0" applyFill="1" applyAlignment="1">
      <alignment vertical="top"/>
    </xf>
    <xf numFmtId="41" fontId="11" fillId="7" borderId="0" xfId="0" applyNumberFormat="1" applyFont="1" applyFill="1" applyAlignment="1" applyProtection="1">
      <alignment vertical="top" wrapText="1"/>
      <protection locked="0"/>
    </xf>
    <xf numFmtId="41" fontId="3" fillId="0" borderId="6" xfId="0" applyNumberFormat="1" applyFont="1" applyBorder="1" applyAlignment="1" applyProtection="1">
      <alignment vertical="top" wrapText="1"/>
      <protection locked="0"/>
    </xf>
    <xf numFmtId="41" fontId="3" fillId="7" borderId="6" xfId="0" applyNumberFormat="1" applyFont="1" applyFill="1" applyBorder="1" applyAlignment="1" applyProtection="1">
      <alignment vertical="top"/>
      <protection locked="0"/>
    </xf>
    <xf numFmtId="41" fontId="3" fillId="7" borderId="6" xfId="0" applyNumberFormat="1" applyFont="1" applyFill="1" applyBorder="1" applyAlignment="1" applyProtection="1">
      <alignment vertical="top" wrapText="1"/>
      <protection locked="0"/>
    </xf>
    <xf numFmtId="41" fontId="3" fillId="8" borderId="6" xfId="0" applyNumberFormat="1" applyFont="1" applyFill="1" applyBorder="1" applyAlignment="1" applyProtection="1">
      <alignment vertical="top"/>
      <protection locked="0"/>
    </xf>
    <xf numFmtId="41" fontId="3" fillId="8" borderId="6" xfId="0" applyNumberFormat="1" applyFont="1" applyFill="1" applyBorder="1" applyAlignment="1" applyProtection="1">
      <alignment vertical="top" wrapText="1"/>
      <protection locked="0"/>
    </xf>
    <xf numFmtId="41" fontId="3" fillId="3" borderId="6" xfId="0" applyNumberFormat="1" applyFont="1" applyFill="1" applyBorder="1" applyAlignment="1" applyProtection="1">
      <alignment vertical="top"/>
      <protection locked="0"/>
    </xf>
    <xf numFmtId="41" fontId="3" fillId="2" borderId="6" xfId="0" applyNumberFormat="1" applyFont="1" applyFill="1" applyBorder="1" applyAlignment="1" applyProtection="1">
      <alignment vertical="top"/>
      <protection locked="0"/>
    </xf>
    <xf numFmtId="37" fontId="27" fillId="2" borderId="0" xfId="0" applyNumberFormat="1" applyFont="1" applyFill="1" applyAlignment="1">
      <alignment vertical="top" wrapText="1"/>
    </xf>
    <xf numFmtId="164" fontId="28" fillId="0" borderId="0" xfId="0" applyFont="1" applyAlignment="1">
      <alignment vertical="top" wrapText="1"/>
    </xf>
    <xf numFmtId="164" fontId="27" fillId="2" borderId="0" xfId="0" applyFont="1" applyFill="1" applyAlignment="1">
      <alignment vertical="top" wrapText="1"/>
    </xf>
    <xf numFmtId="164" fontId="29" fillId="0" borderId="0" xfId="0" applyFont="1" applyAlignment="1">
      <alignment vertical="top" wrapText="1"/>
    </xf>
    <xf numFmtId="37" fontId="29" fillId="2" borderId="0" xfId="0" applyNumberFormat="1" applyFont="1" applyFill="1" applyAlignment="1">
      <alignment vertical="top" wrapText="1"/>
    </xf>
    <xf numFmtId="41" fontId="15" fillId="7" borderId="6" xfId="0" applyNumberFormat="1" applyFont="1" applyFill="1" applyBorder="1" applyAlignment="1" applyProtection="1">
      <alignment vertical="top" wrapText="1"/>
      <protection locked="0"/>
    </xf>
    <xf numFmtId="41" fontId="15" fillId="8" borderId="6" xfId="0" applyNumberFormat="1" applyFont="1" applyFill="1" applyBorder="1" applyAlignment="1" applyProtection="1">
      <alignment vertical="top" wrapText="1"/>
      <protection locked="0"/>
    </xf>
    <xf numFmtId="41" fontId="15" fillId="2" borderId="6" xfId="0" applyNumberFormat="1" applyFont="1" applyFill="1" applyBorder="1" applyAlignment="1" applyProtection="1">
      <alignment vertical="top"/>
      <protection locked="0"/>
    </xf>
    <xf numFmtId="41" fontId="1" fillId="0" borderId="5" xfId="0" applyNumberFormat="1" applyFont="1" applyBorder="1" applyAlignment="1">
      <alignment vertical="top"/>
    </xf>
    <xf numFmtId="41" fontId="11" fillId="8" borderId="0" xfId="0" applyNumberFormat="1" applyFont="1" applyFill="1" applyAlignment="1" applyProtection="1">
      <alignment vertical="top"/>
      <protection locked="0"/>
    </xf>
    <xf numFmtId="41" fontId="11" fillId="8" borderId="0" xfId="0" applyNumberFormat="1" applyFont="1" applyFill="1" applyAlignment="1" applyProtection="1">
      <alignment vertical="top" wrapText="1"/>
      <protection locked="0"/>
    </xf>
    <xf numFmtId="41" fontId="11" fillId="2" borderId="0" xfId="0" applyNumberFormat="1" applyFont="1" applyFill="1" applyAlignment="1" applyProtection="1">
      <alignment vertical="top"/>
      <protection locked="0"/>
    </xf>
    <xf numFmtId="37" fontId="15" fillId="0" borderId="7" xfId="0" applyNumberFormat="1" applyFont="1" applyBorder="1" applyAlignment="1">
      <alignment vertical="top" wrapText="1"/>
    </xf>
    <xf numFmtId="41" fontId="15" fillId="0" borderId="7" xfId="0" applyNumberFormat="1" applyFont="1" applyBorder="1" applyAlignment="1">
      <alignment vertical="top"/>
    </xf>
    <xf numFmtId="41" fontId="15" fillId="7" borderId="7" xfId="0" applyNumberFormat="1" applyFont="1" applyFill="1" applyBorder="1" applyAlignment="1">
      <alignment vertical="top"/>
    </xf>
    <xf numFmtId="41" fontId="15" fillId="7" borderId="7" xfId="0" applyNumberFormat="1" applyFont="1" applyFill="1" applyBorder="1" applyAlignment="1">
      <alignment vertical="top" wrapText="1"/>
    </xf>
    <xf numFmtId="41" fontId="15" fillId="8" borderId="7" xfId="0" applyNumberFormat="1" applyFont="1" applyFill="1" applyBorder="1" applyAlignment="1">
      <alignment vertical="top"/>
    </xf>
    <xf numFmtId="41" fontId="15" fillId="8" borderId="7" xfId="0" applyNumberFormat="1" applyFont="1" applyFill="1" applyBorder="1" applyAlignment="1">
      <alignment vertical="top" wrapText="1"/>
    </xf>
    <xf numFmtId="41" fontId="15" fillId="3" borderId="7" xfId="0" applyNumberFormat="1" applyFont="1" applyFill="1" applyBorder="1" applyAlignment="1">
      <alignment vertical="top"/>
    </xf>
    <xf numFmtId="41" fontId="15" fillId="2" borderId="7" xfId="0" applyNumberFormat="1" applyFont="1" applyFill="1" applyBorder="1" applyAlignment="1">
      <alignment vertical="top"/>
    </xf>
    <xf numFmtId="43" fontId="1" fillId="7" borderId="0" xfId="0" applyNumberFormat="1" applyFont="1" applyFill="1" applyAlignment="1" applyProtection="1">
      <alignment vertical="top"/>
      <protection locked="0"/>
    </xf>
    <xf numFmtId="166" fontId="1" fillId="7" borderId="0" xfId="0" applyNumberFormat="1" applyFont="1" applyFill="1" applyAlignment="1" applyProtection="1">
      <alignment vertical="top"/>
      <protection locked="0"/>
    </xf>
    <xf numFmtId="166" fontId="1" fillId="3" borderId="0" xfId="0" applyNumberFormat="1" applyFont="1" applyFill="1" applyAlignment="1" applyProtection="1">
      <alignment vertical="top"/>
      <protection locked="0"/>
    </xf>
    <xf numFmtId="41" fontId="3" fillId="0" borderId="0" xfId="0" applyNumberFormat="1" applyFont="1" applyAlignment="1" applyProtection="1">
      <alignment vertical="top" wrapText="1"/>
      <protection locked="0"/>
    </xf>
    <xf numFmtId="166" fontId="3" fillId="0" borderId="0" xfId="0" applyNumberFormat="1" applyFont="1" applyAlignment="1" applyProtection="1">
      <alignment vertical="top" wrapText="1"/>
      <protection locked="0"/>
    </xf>
    <xf numFmtId="41" fontId="3" fillId="7" borderId="0" xfId="0" applyNumberFormat="1" applyFont="1" applyFill="1" applyAlignment="1" applyProtection="1">
      <alignment vertical="top" wrapText="1"/>
      <protection locked="0"/>
    </xf>
    <xf numFmtId="166" fontId="1" fillId="0" borderId="0" xfId="0" applyNumberFormat="1" applyFont="1" applyAlignment="1">
      <alignment vertical="top"/>
    </xf>
    <xf numFmtId="166" fontId="11" fillId="0" borderId="0" xfId="0" applyNumberFormat="1" applyFont="1" applyAlignment="1" applyProtection="1">
      <alignment vertical="top"/>
      <protection locked="0"/>
    </xf>
    <xf numFmtId="166" fontId="1" fillId="8" borderId="0" xfId="0" applyNumberFormat="1" applyFont="1" applyFill="1" applyAlignment="1" applyProtection="1">
      <alignment vertical="top"/>
      <protection locked="0"/>
    </xf>
    <xf numFmtId="164" fontId="1" fillId="0" borderId="0" xfId="0" applyFont="1" applyAlignment="1">
      <alignment vertical="top"/>
    </xf>
    <xf numFmtId="164" fontId="1" fillId="8" borderId="0" xfId="0" applyFont="1" applyFill="1" applyAlignment="1">
      <alignment vertical="top"/>
    </xf>
    <xf numFmtId="164" fontId="1" fillId="8" borderId="0" xfId="0" applyFont="1" applyFill="1" applyAlignment="1">
      <alignment vertical="top" wrapText="1"/>
    </xf>
    <xf numFmtId="0" fontId="3" fillId="0" borderId="10" xfId="0" applyNumberFormat="1" applyFont="1" applyBorder="1" applyAlignment="1">
      <alignment horizontal="center" vertical="top"/>
    </xf>
    <xf numFmtId="37" fontId="15" fillId="0" borderId="10" xfId="0" applyNumberFormat="1" applyFont="1" applyBorder="1" applyAlignment="1">
      <alignment vertical="top"/>
    </xf>
    <xf numFmtId="37" fontId="3" fillId="0" borderId="10" xfId="0" applyNumberFormat="1" applyFont="1" applyBorder="1" applyAlignment="1">
      <alignment vertical="top"/>
    </xf>
    <xf numFmtId="41" fontId="3" fillId="0" borderId="10" xfId="0" applyNumberFormat="1" applyFont="1" applyBorder="1" applyAlignment="1">
      <alignment vertical="top"/>
    </xf>
    <xf numFmtId="41" fontId="3" fillId="7" borderId="10" xfId="0" applyNumberFormat="1" applyFont="1" applyFill="1" applyBorder="1" applyAlignment="1">
      <alignment vertical="top"/>
    </xf>
    <xf numFmtId="41" fontId="3" fillId="7" borderId="10" xfId="0" applyNumberFormat="1" applyFont="1" applyFill="1" applyBorder="1" applyAlignment="1">
      <alignment vertical="top" wrapText="1"/>
    </xf>
    <xf numFmtId="41" fontId="3" fillId="8" borderId="10" xfId="0" applyNumberFormat="1" applyFont="1" applyFill="1" applyBorder="1" applyAlignment="1">
      <alignment vertical="top"/>
    </xf>
    <xf numFmtId="41" fontId="3" fillId="8" borderId="10" xfId="0" applyNumberFormat="1" applyFont="1" applyFill="1" applyBorder="1" applyAlignment="1">
      <alignment vertical="top" wrapText="1"/>
    </xf>
    <xf numFmtId="41" fontId="3" fillId="3" borderId="10" xfId="0" applyNumberFormat="1" applyFont="1" applyFill="1" applyBorder="1" applyAlignment="1">
      <alignment vertical="top"/>
    </xf>
    <xf numFmtId="41" fontId="3" fillId="2" borderId="10" xfId="0" applyNumberFormat="1" applyFont="1" applyFill="1" applyBorder="1" applyAlignment="1">
      <alignment vertical="top"/>
    </xf>
    <xf numFmtId="164" fontId="3" fillId="0" borderId="0" xfId="0" applyFont="1" applyAlignment="1">
      <alignment vertical="top"/>
    </xf>
    <xf numFmtId="41" fontId="3" fillId="0" borderId="0" xfId="0" applyNumberFormat="1" applyFont="1" applyAlignment="1">
      <alignment vertical="top"/>
    </xf>
    <xf numFmtId="164" fontId="3" fillId="0" borderId="0" xfId="0" applyFont="1" applyAlignment="1">
      <alignment vertical="top" wrapText="1"/>
    </xf>
    <xf numFmtId="37" fontId="1" fillId="0" borderId="0" xfId="0" applyNumberFormat="1" applyFont="1" applyAlignment="1">
      <alignment vertical="top" wrapText="1"/>
    </xf>
    <xf numFmtId="37" fontId="3" fillId="0" borderId="0" xfId="0" applyNumberFormat="1" applyFont="1" applyAlignment="1">
      <alignment vertical="top" wrapText="1"/>
    </xf>
    <xf numFmtId="164" fontId="11" fillId="0" borderId="0" xfId="0" applyFont="1" applyAlignment="1">
      <alignment vertical="top"/>
    </xf>
    <xf numFmtId="3" fontId="1" fillId="3" borderId="0" xfId="0" applyNumberFormat="1" applyFont="1" applyFill="1" applyAlignment="1">
      <alignment vertical="top"/>
    </xf>
    <xf numFmtId="41" fontId="8" fillId="3" borderId="0" xfId="3" applyNumberFormat="1" applyFont="1" applyFill="1" applyBorder="1" applyAlignment="1" applyProtection="1">
      <alignment horizontal="center" vertical="top"/>
      <protection locked="0"/>
    </xf>
    <xf numFmtId="5" fontId="0" fillId="3" borderId="0" xfId="0" applyNumberFormat="1" applyFill="1" applyAlignment="1">
      <alignment vertical="top"/>
    </xf>
    <xf numFmtId="41" fontId="30" fillId="4" borderId="0" xfId="3" applyNumberFormat="1" applyFont="1" applyFill="1" applyBorder="1" applyAlignment="1" applyProtection="1">
      <alignment horizontal="center" vertical="top"/>
      <protection locked="0"/>
    </xf>
    <xf numFmtId="0" fontId="0" fillId="0" borderId="0" xfId="0" applyNumberFormat="1" applyAlignment="1">
      <alignment vertical="top" wrapText="1"/>
    </xf>
    <xf numFmtId="37" fontId="0" fillId="0" borderId="0" xfId="0" applyNumberFormat="1" applyAlignment="1">
      <alignment vertical="top" wrapText="1"/>
    </xf>
    <xf numFmtId="37" fontId="0" fillId="0" borderId="0" xfId="0" applyNumberFormat="1" applyAlignment="1">
      <alignment vertical="top"/>
    </xf>
    <xf numFmtId="3" fontId="7" fillId="0" borderId="0" xfId="0" applyNumberFormat="1" applyFont="1" applyAlignment="1">
      <alignment vertical="top"/>
    </xf>
    <xf numFmtId="41" fontId="13" fillId="0" borderId="0" xfId="0" applyNumberFormat="1" applyFont="1" applyAlignment="1">
      <alignment horizontal="center" vertical="top"/>
    </xf>
    <xf numFmtId="41" fontId="13" fillId="0" borderId="0" xfId="0" applyNumberFormat="1" applyFont="1" applyAlignment="1">
      <alignment horizontal="center" vertical="top" wrapText="1"/>
    </xf>
    <xf numFmtId="0" fontId="13" fillId="0" borderId="0" xfId="0" applyNumberFormat="1" applyFont="1" applyAlignment="1">
      <alignment horizontal="center" vertical="top" wrapText="1"/>
    </xf>
    <xf numFmtId="41" fontId="13" fillId="3" borderId="0" xfId="0" applyNumberFormat="1" applyFont="1" applyFill="1" applyAlignment="1">
      <alignment horizontal="center" vertical="top"/>
    </xf>
    <xf numFmtId="0" fontId="10" fillId="0" borderId="0" xfId="0" applyNumberFormat="1" applyFont="1" applyAlignment="1">
      <alignment horizontal="center" vertical="top"/>
    </xf>
    <xf numFmtId="37" fontId="5" fillId="0" borderId="0" xfId="0" applyNumberFormat="1" applyFont="1" applyAlignment="1">
      <alignment vertical="top"/>
    </xf>
    <xf numFmtId="41" fontId="10" fillId="0" borderId="0" xfId="0" applyNumberFormat="1" applyFont="1" applyAlignment="1">
      <alignment vertical="top"/>
    </xf>
    <xf numFmtId="41" fontId="10" fillId="0" borderId="0" xfId="0" applyNumberFormat="1" applyFont="1" applyAlignment="1">
      <alignment vertical="top" wrapText="1"/>
    </xf>
    <xf numFmtId="41" fontId="10" fillId="7" borderId="0" xfId="0" applyNumberFormat="1" applyFont="1" applyFill="1" applyAlignment="1">
      <alignment vertical="top"/>
    </xf>
    <xf numFmtId="0" fontId="10" fillId="7" borderId="0" xfId="0" applyNumberFormat="1" applyFont="1" applyFill="1" applyAlignment="1">
      <alignment vertical="top" wrapText="1"/>
    </xf>
    <xf numFmtId="37" fontId="10" fillId="8" borderId="0" xfId="0" applyNumberFormat="1" applyFont="1" applyFill="1" applyAlignment="1">
      <alignment vertical="top"/>
    </xf>
    <xf numFmtId="37" fontId="10" fillId="15" borderId="0" xfId="0" applyNumberFormat="1" applyFont="1" applyFill="1" applyAlignment="1">
      <alignment vertical="top" wrapText="1"/>
    </xf>
    <xf numFmtId="41" fontId="10" fillId="3" borderId="0" xfId="0" applyNumberFormat="1" applyFont="1" applyFill="1" applyAlignment="1">
      <alignment vertical="top"/>
    </xf>
    <xf numFmtId="37" fontId="10" fillId="0" borderId="0" xfId="0" applyNumberFormat="1" applyFont="1" applyAlignment="1">
      <alignment vertical="top"/>
    </xf>
    <xf numFmtId="37" fontId="10" fillId="8" borderId="0" xfId="0" applyNumberFormat="1" applyFont="1" applyFill="1" applyAlignment="1">
      <alignment vertical="top" wrapText="1"/>
    </xf>
    <xf numFmtId="37" fontId="7" fillId="0" borderId="0" xfId="0" applyNumberFormat="1" applyFont="1" applyAlignment="1">
      <alignment vertical="top"/>
    </xf>
    <xf numFmtId="41" fontId="0" fillId="7" borderId="0" xfId="0" applyNumberFormat="1" applyFill="1" applyAlignment="1">
      <alignment vertical="top"/>
    </xf>
    <xf numFmtId="0" fontId="0" fillId="7" borderId="0" xfId="0" applyNumberFormat="1" applyFill="1" applyAlignment="1">
      <alignment vertical="top" wrapText="1"/>
    </xf>
    <xf numFmtId="37" fontId="0" fillId="8" borderId="0" xfId="0" applyNumberFormat="1" applyFill="1" applyAlignment="1">
      <alignment vertical="top"/>
    </xf>
    <xf numFmtId="37" fontId="0" fillId="8" borderId="0" xfId="0" applyNumberFormat="1" applyFill="1" applyAlignment="1">
      <alignment vertical="top" wrapText="1"/>
    </xf>
    <xf numFmtId="37" fontId="31" fillId="8" borderId="0" xfId="0" applyNumberFormat="1" applyFont="1" applyFill="1" applyAlignment="1">
      <alignment vertical="top" wrapText="1"/>
    </xf>
    <xf numFmtId="41" fontId="7" fillId="14" borderId="0" xfId="0" applyNumberFormat="1" applyFont="1" applyFill="1" applyAlignment="1">
      <alignment vertical="top" wrapText="1"/>
    </xf>
    <xf numFmtId="37" fontId="0" fillId="6" borderId="0" xfId="0" applyNumberFormat="1" applyFill="1" applyAlignment="1">
      <alignment vertical="top"/>
    </xf>
    <xf numFmtId="37" fontId="7" fillId="8" borderId="0" xfId="0" applyNumberFormat="1" applyFont="1" applyFill="1" applyAlignment="1">
      <alignment vertical="top" wrapText="1"/>
    </xf>
    <xf numFmtId="0" fontId="7" fillId="0" borderId="0" xfId="0" applyNumberFormat="1" applyFont="1" applyAlignment="1">
      <alignment horizontal="left" vertical="top"/>
    </xf>
    <xf numFmtId="41" fontId="0" fillId="8" borderId="0" xfId="0" applyNumberFormat="1" applyFill="1" applyAlignment="1">
      <alignment vertical="top" wrapText="1"/>
    </xf>
    <xf numFmtId="166" fontId="0" fillId="0" borderId="0" xfId="0" applyNumberFormat="1" applyAlignment="1">
      <alignment vertical="top"/>
    </xf>
    <xf numFmtId="43" fontId="0" fillId="0" borderId="0" xfId="0" applyNumberFormat="1" applyAlignment="1">
      <alignment vertical="top"/>
    </xf>
    <xf numFmtId="37" fontId="5" fillId="0" borderId="10" xfId="0" applyNumberFormat="1" applyFont="1" applyBorder="1" applyAlignment="1">
      <alignment vertical="top"/>
    </xf>
    <xf numFmtId="0" fontId="10" fillId="7" borderId="10" xfId="0" applyNumberFormat="1" applyFont="1" applyFill="1" applyBorder="1" applyAlignment="1">
      <alignment vertical="top" wrapText="1"/>
    </xf>
    <xf numFmtId="41" fontId="10" fillId="8" borderId="10" xfId="0" applyNumberFormat="1" applyFont="1" applyFill="1" applyBorder="1" applyAlignment="1">
      <alignment vertical="top" wrapText="1"/>
    </xf>
    <xf numFmtId="37" fontId="10" fillId="0" borderId="10" xfId="0" applyNumberFormat="1" applyFont="1" applyBorder="1" applyAlignment="1">
      <alignment vertical="top"/>
    </xf>
    <xf numFmtId="164" fontId="7" fillId="0" borderId="0" xfId="0" applyFont="1" applyAlignment="1">
      <alignment vertical="top"/>
    </xf>
    <xf numFmtId="164" fontId="0" fillId="0" borderId="0" xfId="0" applyAlignment="1">
      <alignment vertical="top" wrapText="1"/>
    </xf>
    <xf numFmtId="164" fontId="0" fillId="3" borderId="0" xfId="0" applyFill="1" applyAlignment="1">
      <alignment vertical="top"/>
    </xf>
    <xf numFmtId="164" fontId="7" fillId="0" borderId="0" xfId="0" applyFont="1"/>
    <xf numFmtId="0" fontId="23" fillId="7" borderId="0" xfId="0" applyNumberFormat="1" applyFont="1" applyFill="1" applyAlignment="1">
      <alignment vertical="top" wrapText="1"/>
    </xf>
    <xf numFmtId="3" fontId="0" fillId="0" borderId="0" xfId="0" applyNumberFormat="1"/>
    <xf numFmtId="3" fontId="0" fillId="0" borderId="0" xfId="0" applyNumberFormat="1" applyAlignment="1">
      <alignment wrapText="1"/>
    </xf>
    <xf numFmtId="0" fontId="0" fillId="7" borderId="0" xfId="0" applyNumberFormat="1" applyFill="1" applyAlignment="1">
      <alignment wrapText="1"/>
    </xf>
    <xf numFmtId="3" fontId="0" fillId="3" borderId="0" xfId="0" applyNumberFormat="1" applyFill="1"/>
    <xf numFmtId="41" fontId="20" fillId="4" borderId="0" xfId="3" applyNumberFormat="1" applyFont="1" applyFill="1" applyBorder="1" applyAlignment="1" applyProtection="1">
      <alignment horizontal="center" vertical="top"/>
      <protection locked="0"/>
    </xf>
    <xf numFmtId="0" fontId="10" fillId="0" borderId="0" xfId="0" applyNumberFormat="1" applyFont="1" applyAlignment="1">
      <alignment vertical="top"/>
    </xf>
    <xf numFmtId="0" fontId="10" fillId="3" borderId="0" xfId="0" applyNumberFormat="1" applyFont="1" applyFill="1" applyAlignment="1">
      <alignment vertical="top"/>
    </xf>
    <xf numFmtId="0" fontId="10" fillId="0" borderId="1" xfId="0" applyNumberFormat="1" applyFont="1" applyBorder="1" applyAlignment="1">
      <alignment vertical="top"/>
    </xf>
    <xf numFmtId="41" fontId="3" fillId="0" borderId="0" xfId="0" applyNumberFormat="1" applyFont="1" applyAlignment="1">
      <alignment horizontal="center" vertical="top"/>
    </xf>
    <xf numFmtId="41" fontId="3" fillId="0" borderId="0" xfId="0" applyNumberFormat="1" applyFont="1" applyAlignment="1">
      <alignment horizontal="center" vertical="top" wrapText="1"/>
    </xf>
    <xf numFmtId="0" fontId="3" fillId="0" borderId="0" xfId="0" applyNumberFormat="1" applyFont="1" applyAlignment="1">
      <alignment horizontal="center" vertical="top" wrapText="1"/>
    </xf>
    <xf numFmtId="41" fontId="3" fillId="3" borderId="0" xfId="0" applyNumberFormat="1" applyFont="1" applyFill="1" applyAlignment="1">
      <alignment horizontal="center" vertical="top"/>
    </xf>
    <xf numFmtId="3" fontId="10" fillId="7" borderId="3" xfId="0" applyNumberFormat="1" applyFont="1" applyFill="1" applyBorder="1" applyAlignment="1">
      <alignment horizontal="center" vertical="center"/>
    </xf>
    <xf numFmtId="41" fontId="10" fillId="11" borderId="4" xfId="0" applyNumberFormat="1" applyFont="1" applyFill="1" applyBorder="1" applyAlignment="1" applyProtection="1">
      <alignment horizontal="center" vertical="center" wrapText="1"/>
      <protection locked="0"/>
    </xf>
    <xf numFmtId="41" fontId="10" fillId="0" borderId="4" xfId="0" applyNumberFormat="1" applyFont="1" applyBorder="1" applyAlignment="1" applyProtection="1">
      <alignment horizontal="center" vertical="center" wrapText="1"/>
      <protection locked="0"/>
    </xf>
    <xf numFmtId="41" fontId="10" fillId="8" borderId="0" xfId="0" applyNumberFormat="1" applyFont="1" applyFill="1" applyAlignment="1" applyProtection="1">
      <alignment horizontal="center" vertical="center" wrapText="1"/>
      <protection locked="0"/>
    </xf>
    <xf numFmtId="41" fontId="10" fillId="2" borderId="2" xfId="0" applyNumberFormat="1" applyFont="1" applyFill="1" applyBorder="1" applyAlignment="1" applyProtection="1">
      <alignment horizontal="center" vertical="center" wrapText="1"/>
      <protection locked="0"/>
    </xf>
    <xf numFmtId="5" fontId="1" fillId="0" borderId="0" xfId="0" applyNumberFormat="1" applyFont="1" applyAlignment="1">
      <alignment vertical="top" wrapText="1"/>
    </xf>
    <xf numFmtId="5" fontId="1" fillId="0" borderId="0" xfId="0" applyNumberFormat="1" applyFont="1" applyAlignment="1">
      <alignment vertical="top"/>
    </xf>
    <xf numFmtId="5" fontId="3" fillId="0" borderId="0" xfId="0" applyNumberFormat="1" applyFont="1" applyAlignment="1">
      <alignment vertical="top" wrapText="1"/>
    </xf>
    <xf numFmtId="41" fontId="1" fillId="14" borderId="0" xfId="0" applyNumberFormat="1" applyFont="1" applyFill="1" applyAlignment="1" applyProtection="1">
      <alignment vertical="top" wrapText="1"/>
      <protection locked="0"/>
    </xf>
    <xf numFmtId="41" fontId="1" fillId="2" borderId="0" xfId="0" applyNumberFormat="1" applyFont="1" applyFill="1" applyAlignment="1" applyProtection="1">
      <alignment vertical="top" wrapText="1"/>
      <protection locked="0"/>
    </xf>
    <xf numFmtId="41" fontId="1" fillId="6" borderId="0" xfId="0" applyNumberFormat="1" applyFont="1" applyFill="1" applyAlignment="1">
      <alignment vertical="top"/>
    </xf>
    <xf numFmtId="166" fontId="1" fillId="0" borderId="0" xfId="0" applyNumberFormat="1" applyFont="1" applyAlignment="1" applyProtection="1">
      <alignment horizontal="right" vertical="top"/>
      <protection locked="0"/>
    </xf>
    <xf numFmtId="5" fontId="3" fillId="0" borderId="7" xfId="0" applyNumberFormat="1" applyFont="1" applyBorder="1" applyAlignment="1">
      <alignment vertical="top" wrapText="1"/>
    </xf>
    <xf numFmtId="41" fontId="3" fillId="0" borderId="7" xfId="0" applyNumberFormat="1" applyFont="1" applyBorder="1" applyAlignment="1">
      <alignment vertical="top"/>
    </xf>
    <xf numFmtId="41" fontId="3" fillId="7" borderId="7" xfId="0" applyNumberFormat="1" applyFont="1" applyFill="1" applyBorder="1" applyAlignment="1">
      <alignment vertical="top"/>
    </xf>
    <xf numFmtId="0" fontId="3" fillId="7" borderId="7" xfId="0" applyNumberFormat="1" applyFont="1" applyFill="1" applyBorder="1" applyAlignment="1">
      <alignment vertical="top" wrapText="1"/>
    </xf>
    <xf numFmtId="41" fontId="10" fillId="8" borderId="7" xfId="0" applyNumberFormat="1" applyFont="1" applyFill="1" applyBorder="1" applyAlignment="1">
      <alignment vertical="top"/>
    </xf>
    <xf numFmtId="5" fontId="10" fillId="8" borderId="7" xfId="0" applyNumberFormat="1" applyFont="1" applyFill="1" applyBorder="1" applyAlignment="1">
      <alignment vertical="top"/>
    </xf>
    <xf numFmtId="41" fontId="3" fillId="3" borderId="7" xfId="0" applyNumberFormat="1" applyFont="1" applyFill="1" applyBorder="1" applyAlignment="1">
      <alignment vertical="top"/>
    </xf>
    <xf numFmtId="41" fontId="10" fillId="2" borderId="7" xfId="0" applyNumberFormat="1" applyFont="1" applyFill="1" applyBorder="1" applyAlignment="1">
      <alignment vertical="top"/>
    </xf>
    <xf numFmtId="5" fontId="3" fillId="0" borderId="0" xfId="0" applyNumberFormat="1" applyFont="1" applyAlignment="1">
      <alignment vertical="top"/>
    </xf>
    <xf numFmtId="0" fontId="3" fillId="7" borderId="7" xfId="0" applyNumberFormat="1" applyFont="1" applyFill="1" applyBorder="1" applyAlignment="1" applyProtection="1">
      <alignment vertical="top" wrapText="1"/>
      <protection locked="0"/>
    </xf>
    <xf numFmtId="41" fontId="0" fillId="16" borderId="0" xfId="0" applyNumberFormat="1" applyFill="1" applyAlignment="1">
      <alignment vertical="top"/>
    </xf>
    <xf numFmtId="41" fontId="1" fillId="16" borderId="0" xfId="0" applyNumberFormat="1" applyFont="1" applyFill="1" applyAlignment="1" applyProtection="1">
      <alignment vertical="top"/>
      <protection locked="0"/>
    </xf>
    <xf numFmtId="37" fontId="0" fillId="0" borderId="0" xfId="0" applyNumberFormat="1" applyAlignment="1">
      <alignment horizontal="center" vertical="top"/>
    </xf>
    <xf numFmtId="37" fontId="0" fillId="0" borderId="0" xfId="0" applyNumberFormat="1" applyAlignment="1">
      <alignment horizontal="left" vertical="top"/>
    </xf>
    <xf numFmtId="0" fontId="1" fillId="0" borderId="0" xfId="0" applyNumberFormat="1" applyFont="1" applyAlignment="1">
      <alignment vertical="top" wrapText="1"/>
    </xf>
    <xf numFmtId="41" fontId="0" fillId="8" borderId="0" xfId="1" applyNumberFormat="1" applyFont="1" applyFill="1" applyAlignment="1">
      <alignment vertical="top"/>
    </xf>
    <xf numFmtId="37" fontId="3" fillId="0" borderId="7" xfId="0" applyNumberFormat="1" applyFont="1" applyBorder="1" applyAlignment="1">
      <alignment vertical="top"/>
    </xf>
    <xf numFmtId="41" fontId="3" fillId="8" borderId="7" xfId="1" applyNumberFormat="1" applyFont="1" applyFill="1" applyBorder="1"/>
    <xf numFmtId="164" fontId="3" fillId="8" borderId="7" xfId="0" applyFont="1" applyFill="1" applyBorder="1"/>
    <xf numFmtId="41" fontId="3" fillId="2" borderId="7" xfId="1" applyNumberFormat="1" applyFont="1" applyFill="1" applyBorder="1"/>
    <xf numFmtId="164" fontId="3" fillId="0" borderId="7" xfId="0" applyFont="1" applyBorder="1" applyAlignment="1">
      <alignment vertical="top"/>
    </xf>
    <xf numFmtId="164" fontId="1" fillId="8" borderId="0" xfId="0" applyFont="1" applyFill="1"/>
    <xf numFmtId="3" fontId="3" fillId="0" borderId="0" xfId="0" applyNumberFormat="1" applyFont="1" applyAlignment="1">
      <alignment vertical="top"/>
    </xf>
    <xf numFmtId="41" fontId="10" fillId="8" borderId="0" xfId="0" applyNumberFormat="1" applyFont="1" applyFill="1" applyAlignment="1" applyProtection="1">
      <alignment vertical="top"/>
      <protection locked="0"/>
    </xf>
    <xf numFmtId="5" fontId="10" fillId="8" borderId="0" xfId="0" applyNumberFormat="1" applyFont="1" applyFill="1" applyAlignment="1">
      <alignment vertical="top"/>
    </xf>
    <xf numFmtId="41" fontId="1" fillId="12" borderId="0" xfId="0" applyNumberFormat="1" applyFont="1" applyFill="1" applyAlignment="1">
      <alignment vertical="top"/>
    </xf>
    <xf numFmtId="3" fontId="3" fillId="0" borderId="7" xfId="0" applyNumberFormat="1" applyFont="1" applyBorder="1" applyAlignment="1">
      <alignment vertical="top"/>
    </xf>
    <xf numFmtId="166" fontId="3" fillId="0" borderId="7" xfId="0" applyNumberFormat="1" applyFont="1" applyBorder="1" applyAlignment="1">
      <alignment vertical="top"/>
    </xf>
    <xf numFmtId="166" fontId="3" fillId="7" borderId="7" xfId="0" applyNumberFormat="1" applyFont="1" applyFill="1" applyBorder="1" applyAlignment="1">
      <alignment vertical="top"/>
    </xf>
    <xf numFmtId="41" fontId="0" fillId="8" borderId="7" xfId="0" applyNumberFormat="1" applyFill="1" applyBorder="1" applyAlignment="1">
      <alignment vertical="top"/>
    </xf>
    <xf numFmtId="5" fontId="0" fillId="8" borderId="7" xfId="0" applyNumberFormat="1" applyFill="1" applyBorder="1" applyAlignment="1">
      <alignment vertical="top"/>
    </xf>
    <xf numFmtId="166" fontId="3" fillId="3" borderId="7" xfId="0" applyNumberFormat="1" applyFont="1" applyFill="1" applyBorder="1" applyAlignment="1">
      <alignment vertical="top"/>
    </xf>
    <xf numFmtId="41" fontId="0" fillId="2" borderId="7" xfId="0" applyNumberFormat="1" applyFill="1" applyBorder="1" applyAlignment="1">
      <alignment vertical="top"/>
    </xf>
    <xf numFmtId="0" fontId="1" fillId="7" borderId="0" xfId="0" applyNumberFormat="1" applyFont="1" applyFill="1" applyAlignment="1">
      <alignment vertical="top"/>
    </xf>
    <xf numFmtId="0" fontId="1" fillId="7" borderId="0" xfId="0" applyNumberFormat="1" applyFont="1" applyFill="1" applyAlignment="1" applyProtection="1">
      <alignment vertical="top"/>
      <protection locked="0"/>
    </xf>
    <xf numFmtId="0" fontId="1" fillId="7" borderId="7" xfId="0" applyNumberFormat="1" applyFont="1" applyFill="1" applyBorder="1" applyAlignment="1" applyProtection="1">
      <alignment vertical="top"/>
      <protection locked="0"/>
    </xf>
    <xf numFmtId="41" fontId="3" fillId="8" borderId="7" xfId="0" applyNumberFormat="1" applyFont="1" applyFill="1" applyBorder="1" applyAlignment="1">
      <alignment vertical="top"/>
    </xf>
    <xf numFmtId="5" fontId="3" fillId="0" borderId="7" xfId="0" applyNumberFormat="1" applyFont="1" applyBorder="1" applyAlignment="1">
      <alignment vertical="top"/>
    </xf>
    <xf numFmtId="0" fontId="1" fillId="0" borderId="0" xfId="0" applyNumberFormat="1" applyFont="1" applyAlignment="1" applyProtection="1">
      <alignment vertical="top" wrapText="1"/>
      <protection locked="0"/>
    </xf>
    <xf numFmtId="164" fontId="1" fillId="0" borderId="0" xfId="0" applyFont="1" applyAlignment="1">
      <alignment vertical="top" wrapText="1"/>
    </xf>
    <xf numFmtId="0" fontId="23" fillId="0" borderId="0" xfId="0" applyNumberFormat="1" applyFont="1" applyAlignment="1">
      <alignment vertical="top" wrapText="1"/>
    </xf>
    <xf numFmtId="41" fontId="23" fillId="0" borderId="0" xfId="0" applyNumberFormat="1" applyFont="1" applyAlignment="1">
      <alignment vertical="top"/>
    </xf>
    <xf numFmtId="41" fontId="15" fillId="0" borderId="1" xfId="3" applyNumberFormat="1" applyFont="1" applyFill="1" applyBorder="1" applyAlignment="1" applyProtection="1">
      <alignment horizontal="left" vertical="top"/>
      <protection locked="0"/>
    </xf>
    <xf numFmtId="41" fontId="32" fillId="0" borderId="1" xfId="3" applyNumberFormat="1" applyFont="1" applyFill="1" applyBorder="1" applyAlignment="1" applyProtection="1">
      <alignment horizontal="center" vertical="top"/>
      <protection locked="0"/>
    </xf>
    <xf numFmtId="41" fontId="32" fillId="3" borderId="0" xfId="3" applyNumberFormat="1" applyFont="1" applyFill="1" applyBorder="1" applyAlignment="1" applyProtection="1">
      <alignment horizontal="center" vertical="top"/>
      <protection locked="0"/>
    </xf>
    <xf numFmtId="5" fontId="1" fillId="2" borderId="0" xfId="0" applyNumberFormat="1" applyFont="1" applyFill="1" applyAlignment="1">
      <alignment vertical="top"/>
    </xf>
    <xf numFmtId="5" fontId="1" fillId="3" borderId="0" xfId="0" applyNumberFormat="1" applyFont="1" applyFill="1" applyAlignment="1">
      <alignment vertical="top"/>
    </xf>
    <xf numFmtId="0" fontId="3" fillId="4" borderId="0" xfId="0" applyNumberFormat="1" applyFont="1" applyFill="1" applyAlignment="1">
      <alignment horizontal="left" vertical="top"/>
    </xf>
    <xf numFmtId="41" fontId="32" fillId="4" borderId="0" xfId="3" applyNumberFormat="1" applyFont="1" applyFill="1" applyBorder="1" applyAlignment="1" applyProtection="1">
      <alignment horizontal="center" vertical="top"/>
      <protection locked="0"/>
    </xf>
    <xf numFmtId="41" fontId="32" fillId="0" borderId="0" xfId="3" applyNumberFormat="1" applyFont="1" applyFill="1" applyBorder="1" applyAlignment="1" applyProtection="1">
      <alignment horizontal="center" vertical="top"/>
      <protection locked="0"/>
    </xf>
    <xf numFmtId="0" fontId="3" fillId="0" borderId="0" xfId="0" applyNumberFormat="1" applyFont="1" applyAlignment="1">
      <alignment vertical="top"/>
    </xf>
    <xf numFmtId="0" fontId="3" fillId="0" borderId="0" xfId="0" applyNumberFormat="1" applyFont="1" applyAlignment="1">
      <alignment vertical="top" wrapText="1"/>
    </xf>
    <xf numFmtId="0" fontId="3" fillId="3" borderId="0" xfId="0" applyNumberFormat="1" applyFont="1" applyFill="1" applyAlignment="1">
      <alignment vertical="top"/>
    </xf>
    <xf numFmtId="0" fontId="1" fillId="0" borderId="0" xfId="0" applyNumberFormat="1" applyFont="1" applyAlignment="1">
      <alignment horizontal="center" vertical="top" wrapText="1"/>
    </xf>
    <xf numFmtId="0" fontId="3" fillId="7" borderId="2" xfId="0" applyNumberFormat="1" applyFont="1" applyFill="1" applyBorder="1" applyAlignment="1">
      <alignment horizontal="center" vertical="center" wrapText="1"/>
    </xf>
    <xf numFmtId="3" fontId="3" fillId="7" borderId="3" xfId="0" applyNumberFormat="1" applyFont="1" applyFill="1" applyBorder="1" applyAlignment="1">
      <alignment horizontal="center" vertical="center"/>
    </xf>
    <xf numFmtId="5" fontId="3" fillId="7" borderId="3" xfId="0" applyNumberFormat="1" applyFont="1" applyFill="1" applyBorder="1" applyAlignment="1" applyProtection="1">
      <alignment horizontal="center" vertical="center" wrapText="1"/>
      <protection locked="0"/>
    </xf>
    <xf numFmtId="5" fontId="3" fillId="7" borderId="2" xfId="0" applyNumberFormat="1" applyFont="1" applyFill="1" applyBorder="1" applyAlignment="1" applyProtection="1">
      <alignment horizontal="center" vertical="center" wrapText="1"/>
      <protection locked="0"/>
    </xf>
    <xf numFmtId="0" fontId="3" fillId="7" borderId="2" xfId="0" applyNumberFormat="1" applyFont="1" applyFill="1" applyBorder="1" applyAlignment="1" applyProtection="1">
      <alignment horizontal="center" vertical="center" wrapText="1"/>
      <protection locked="0"/>
    </xf>
    <xf numFmtId="0" fontId="3" fillId="11" borderId="4" xfId="0" applyNumberFormat="1" applyFont="1" applyFill="1" applyBorder="1" applyAlignment="1" applyProtection="1">
      <alignment horizontal="center" vertical="center" wrapText="1"/>
      <protection locked="0"/>
    </xf>
    <xf numFmtId="0" fontId="3" fillId="8" borderId="11" xfId="0" applyNumberFormat="1" applyFont="1" applyFill="1" applyBorder="1" applyAlignment="1" applyProtection="1">
      <alignment horizontal="center" vertical="center" wrapText="1"/>
      <protection locked="0"/>
    </xf>
    <xf numFmtId="41" fontId="3" fillId="8" borderId="11" xfId="0" applyNumberFormat="1" applyFont="1" applyFill="1" applyBorder="1" applyAlignment="1" applyProtection="1">
      <alignment horizontal="center" vertical="center" wrapText="1"/>
      <protection locked="0"/>
    </xf>
    <xf numFmtId="0" fontId="3" fillId="0" borderId="4" xfId="0" applyNumberFormat="1" applyFont="1" applyBorder="1" applyAlignment="1" applyProtection="1">
      <alignment horizontal="center" vertical="center" wrapText="1"/>
      <protection locked="0"/>
    </xf>
    <xf numFmtId="0" fontId="3" fillId="8" borderId="0" xfId="0" applyNumberFormat="1" applyFont="1" applyFill="1" applyAlignment="1" applyProtection="1">
      <alignment horizontal="center" vertical="center" wrapText="1"/>
      <protection locked="0"/>
    </xf>
    <xf numFmtId="3" fontId="24" fillId="8" borderId="11" xfId="0" applyNumberFormat="1" applyFont="1" applyFill="1" applyBorder="1" applyAlignment="1">
      <alignment horizontal="center" vertical="center" wrapText="1"/>
    </xf>
    <xf numFmtId="0" fontId="3" fillId="3" borderId="0" xfId="0" applyNumberFormat="1" applyFont="1" applyFill="1" applyAlignment="1" applyProtection="1">
      <alignment horizontal="center" vertical="center" wrapText="1"/>
      <protection locked="0"/>
    </xf>
    <xf numFmtId="41" fontId="3" fillId="2" borderId="2" xfId="0" applyNumberFormat="1" applyFont="1" applyFill="1" applyBorder="1" applyAlignment="1" applyProtection="1">
      <alignment horizontal="center" vertical="center" wrapText="1"/>
      <protection locked="0"/>
    </xf>
    <xf numFmtId="3" fontId="1" fillId="0" borderId="0" xfId="0" applyNumberFormat="1" applyFont="1" applyAlignment="1">
      <alignment vertical="center"/>
    </xf>
    <xf numFmtId="41" fontId="3" fillId="0" borderId="0" xfId="0" applyNumberFormat="1" applyFont="1" applyAlignment="1" applyProtection="1">
      <alignment vertical="top"/>
      <protection locked="0"/>
    </xf>
    <xf numFmtId="41" fontId="3" fillId="7" borderId="0" xfId="0" applyNumberFormat="1" applyFont="1" applyFill="1" applyAlignment="1" applyProtection="1">
      <alignment vertical="top"/>
      <protection locked="0"/>
    </xf>
    <xf numFmtId="0" fontId="3" fillId="7" borderId="0" xfId="0" applyNumberFormat="1" applyFont="1" applyFill="1" applyAlignment="1" applyProtection="1">
      <alignment vertical="top" wrapText="1"/>
      <protection locked="0"/>
    </xf>
    <xf numFmtId="164" fontId="3" fillId="8" borderId="0" xfId="0" applyFont="1" applyFill="1" applyAlignment="1">
      <alignment vertical="top"/>
    </xf>
    <xf numFmtId="164" fontId="3" fillId="8" borderId="0" xfId="0" applyFont="1" applyFill="1" applyAlignment="1">
      <alignment vertical="top" wrapText="1"/>
    </xf>
    <xf numFmtId="41" fontId="3" fillId="3" borderId="0" xfId="0" applyNumberFormat="1" applyFont="1" applyFill="1" applyAlignment="1" applyProtection="1">
      <alignment vertical="top"/>
      <protection locked="0"/>
    </xf>
    <xf numFmtId="166" fontId="1" fillId="8" borderId="0" xfId="0" applyNumberFormat="1" applyFont="1" applyFill="1" applyAlignment="1">
      <alignment vertical="top"/>
    </xf>
    <xf numFmtId="166" fontId="1" fillId="6" borderId="0" xfId="0" applyNumberFormat="1" applyFont="1" applyFill="1" applyAlignment="1" applyProtection="1">
      <alignment vertical="top"/>
      <protection locked="0"/>
    </xf>
    <xf numFmtId="41" fontId="1" fillId="6" borderId="0" xfId="0" applyNumberFormat="1" applyFont="1" applyFill="1" applyAlignment="1" applyProtection="1">
      <alignment vertical="top" wrapText="1"/>
      <protection locked="0"/>
    </xf>
    <xf numFmtId="41" fontId="1" fillId="6" borderId="0" xfId="0" applyNumberFormat="1" applyFont="1" applyFill="1" applyAlignment="1" applyProtection="1">
      <alignment vertical="top"/>
      <protection locked="0"/>
    </xf>
    <xf numFmtId="41" fontId="1" fillId="8" borderId="5" xfId="0" applyNumberFormat="1" applyFont="1" applyFill="1" applyBorder="1" applyAlignment="1" applyProtection="1">
      <alignment vertical="top"/>
      <protection locked="0"/>
    </xf>
    <xf numFmtId="0" fontId="3" fillId="0" borderId="6" xfId="0" applyNumberFormat="1" applyFont="1" applyBorder="1" applyAlignment="1">
      <alignment horizontal="center" vertical="top" wrapText="1"/>
    </xf>
    <xf numFmtId="5" fontId="3" fillId="0" borderId="6" xfId="0" applyNumberFormat="1" applyFont="1" applyBorder="1" applyAlignment="1">
      <alignment vertical="top" wrapText="1"/>
    </xf>
    <xf numFmtId="0" fontId="3" fillId="7" borderId="6" xfId="0" applyNumberFormat="1" applyFont="1" applyFill="1" applyBorder="1" applyAlignment="1">
      <alignment vertical="top" wrapText="1"/>
    </xf>
    <xf numFmtId="41" fontId="1" fillId="8" borderId="0" xfId="0" applyNumberFormat="1" applyFont="1" applyFill="1" applyAlignment="1">
      <alignment vertical="top" wrapText="1"/>
    </xf>
    <xf numFmtId="41" fontId="3" fillId="8" borderId="0" xfId="0" applyNumberFormat="1" applyFont="1" applyFill="1" applyAlignment="1">
      <alignment vertical="top" wrapText="1"/>
    </xf>
    <xf numFmtId="0" fontId="33" fillId="0" borderId="0" xfId="0" applyNumberFormat="1" applyFont="1" applyAlignment="1">
      <alignment horizontal="center" vertical="top" wrapText="1"/>
    </xf>
    <xf numFmtId="49" fontId="33" fillId="0" borderId="0" xfId="0" applyNumberFormat="1" applyFont="1" applyAlignment="1">
      <alignment vertical="top" wrapText="1"/>
    </xf>
    <xf numFmtId="0" fontId="3" fillId="7" borderId="0" xfId="0" applyNumberFormat="1" applyFont="1" applyFill="1" applyAlignment="1">
      <alignment vertical="top" wrapText="1"/>
    </xf>
    <xf numFmtId="166" fontId="3" fillId="0" borderId="6" xfId="1" applyNumberFormat="1" applyFont="1" applyFill="1" applyBorder="1" applyAlignment="1">
      <alignment vertical="top"/>
    </xf>
    <xf numFmtId="0" fontId="34" fillId="7" borderId="0" xfId="0" applyNumberFormat="1" applyFont="1" applyFill="1" applyAlignment="1">
      <alignment vertical="top" wrapText="1"/>
    </xf>
    <xf numFmtId="166" fontId="1" fillId="6" borderId="0" xfId="0" applyNumberFormat="1" applyFont="1" applyFill="1" applyAlignment="1">
      <alignment vertical="top"/>
    </xf>
    <xf numFmtId="0" fontId="35" fillId="7" borderId="6" xfId="0" applyNumberFormat="1" applyFont="1" applyFill="1" applyBorder="1" applyAlignment="1">
      <alignment vertical="top" wrapText="1"/>
    </xf>
    <xf numFmtId="164" fontId="1" fillId="6" borderId="0" xfId="0" applyFont="1" applyFill="1" applyAlignment="1">
      <alignment vertical="top" wrapText="1"/>
    </xf>
    <xf numFmtId="0" fontId="24" fillId="0" borderId="0" xfId="0" applyNumberFormat="1" applyFont="1" applyAlignment="1">
      <alignment horizontal="center" vertical="top" wrapText="1"/>
    </xf>
    <xf numFmtId="49" fontId="24" fillId="0" borderId="0" xfId="0" applyNumberFormat="1" applyFont="1" applyAlignment="1">
      <alignment horizontal="left" vertical="top" wrapText="1"/>
    </xf>
    <xf numFmtId="41" fontId="1" fillId="0" borderId="5" xfId="0" applyNumberFormat="1" applyFont="1" applyBorder="1" applyAlignment="1" applyProtection="1">
      <alignment vertical="top" wrapText="1"/>
      <protection locked="0"/>
    </xf>
    <xf numFmtId="0" fontId="11" fillId="7" borderId="0" xfId="0" applyNumberFormat="1" applyFont="1" applyFill="1" applyAlignment="1" applyProtection="1">
      <alignment vertical="top" wrapText="1"/>
      <protection locked="0"/>
    </xf>
    <xf numFmtId="0" fontId="3" fillId="7" borderId="6" xfId="0" applyNumberFormat="1" applyFont="1" applyFill="1" applyBorder="1" applyAlignment="1" applyProtection="1">
      <alignment vertical="top" wrapText="1"/>
      <protection locked="0"/>
    </xf>
    <xf numFmtId="41" fontId="36" fillId="8" borderId="6" xfId="0" applyNumberFormat="1" applyFont="1" applyFill="1" applyBorder="1" applyAlignment="1" applyProtection="1">
      <alignment vertical="top" wrapText="1"/>
      <protection locked="0"/>
    </xf>
    <xf numFmtId="164" fontId="1" fillId="2" borderId="0" xfId="0" applyFont="1" applyFill="1" applyAlignment="1">
      <alignment vertical="top"/>
    </xf>
    <xf numFmtId="37" fontId="1" fillId="3" borderId="0" xfId="0" applyNumberFormat="1" applyFont="1" applyFill="1" applyAlignment="1">
      <alignment vertical="top"/>
    </xf>
    <xf numFmtId="166" fontId="1" fillId="8" borderId="0" xfId="1" applyNumberFormat="1" applyFont="1" applyFill="1" applyAlignment="1">
      <alignment vertical="top"/>
    </xf>
    <xf numFmtId="0" fontId="3" fillId="0" borderId="7" xfId="0" applyNumberFormat="1" applyFont="1" applyBorder="1" applyAlignment="1">
      <alignment horizontal="center" vertical="top" wrapText="1"/>
    </xf>
    <xf numFmtId="166" fontId="3" fillId="8" borderId="7" xfId="1" applyNumberFormat="1" applyFont="1" applyFill="1" applyBorder="1" applyAlignment="1">
      <alignment vertical="top"/>
    </xf>
    <xf numFmtId="41" fontId="3" fillId="2" borderId="7" xfId="0" applyNumberFormat="1" applyFont="1" applyFill="1" applyBorder="1" applyAlignment="1">
      <alignment vertical="top"/>
    </xf>
    <xf numFmtId="43" fontId="3" fillId="0" borderId="0" xfId="0" applyNumberFormat="1" applyFont="1" applyAlignment="1">
      <alignment vertical="top"/>
    </xf>
    <xf numFmtId="166" fontId="1" fillId="0" borderId="0" xfId="0" applyNumberFormat="1" applyFont="1" applyAlignment="1">
      <alignment vertical="top" wrapText="1"/>
    </xf>
    <xf numFmtId="166" fontId="1" fillId="7" borderId="0" xfId="0" applyNumberFormat="1" applyFont="1" applyFill="1" applyAlignment="1">
      <alignment vertical="top"/>
    </xf>
    <xf numFmtId="164" fontId="34" fillId="8" borderId="0" xfId="0" applyFont="1" applyFill="1" applyAlignment="1">
      <alignment wrapText="1"/>
    </xf>
    <xf numFmtId="166" fontId="1" fillId="3" borderId="0" xfId="0" applyNumberFormat="1" applyFont="1" applyFill="1" applyAlignment="1">
      <alignment vertical="top"/>
    </xf>
    <xf numFmtId="164" fontId="1" fillId="8" borderId="0" xfId="0" applyFont="1" applyFill="1" applyAlignment="1">
      <alignment horizontal="left" vertical="top" wrapText="1"/>
    </xf>
    <xf numFmtId="164" fontId="1" fillId="2" borderId="0" xfId="0" applyFont="1" applyFill="1" applyAlignment="1">
      <alignment horizontal="left" vertical="top" wrapText="1"/>
    </xf>
    <xf numFmtId="164" fontId="1" fillId="0" borderId="0" xfId="0" applyFont="1" applyAlignment="1">
      <alignment horizontal="left" vertical="top" wrapText="1"/>
    </xf>
    <xf numFmtId="6" fontId="1" fillId="0" borderId="0" xfId="0" applyNumberFormat="1" applyFont="1" applyAlignment="1">
      <alignment vertical="top"/>
    </xf>
    <xf numFmtId="0" fontId="1" fillId="8" borderId="0" xfId="0" applyNumberFormat="1" applyFont="1" applyFill="1" applyAlignment="1">
      <alignment vertical="top" wrapText="1"/>
    </xf>
    <xf numFmtId="41" fontId="3" fillId="8" borderId="7" xfId="1" applyNumberFormat="1" applyFont="1" applyFill="1" applyBorder="1" applyAlignment="1">
      <alignment vertical="top"/>
    </xf>
    <xf numFmtId="166" fontId="3" fillId="8" borderId="7" xfId="1" applyNumberFormat="1" applyFont="1" applyFill="1" applyBorder="1" applyAlignment="1">
      <alignment vertical="top" wrapText="1"/>
    </xf>
    <xf numFmtId="41" fontId="3" fillId="2" borderId="7" xfId="1" applyNumberFormat="1" applyFont="1" applyFill="1" applyBorder="1" applyAlignment="1">
      <alignment vertical="top"/>
    </xf>
    <xf numFmtId="37" fontId="1" fillId="0" borderId="0" xfId="0" applyNumberFormat="1" applyFont="1" applyAlignment="1">
      <alignment horizontal="center" vertical="top"/>
    </xf>
    <xf numFmtId="0" fontId="1" fillId="0" borderId="6" xfId="0" applyNumberFormat="1" applyFont="1" applyBorder="1" applyAlignment="1">
      <alignment horizontal="center" vertical="top"/>
    </xf>
    <xf numFmtId="37" fontId="1" fillId="0" borderId="6" xfId="0" applyNumberFormat="1" applyFont="1" applyBorder="1" applyAlignment="1">
      <alignment vertical="top"/>
    </xf>
    <xf numFmtId="0" fontId="1" fillId="7" borderId="6" xfId="0" applyNumberFormat="1" applyFont="1" applyFill="1" applyBorder="1" applyAlignment="1" applyProtection="1">
      <alignment vertical="top" wrapText="1"/>
      <protection locked="0"/>
    </xf>
    <xf numFmtId="41" fontId="1" fillId="8" borderId="6" xfId="0" applyNumberFormat="1" applyFont="1" applyFill="1" applyBorder="1" applyAlignment="1" applyProtection="1">
      <alignment vertical="top" wrapText="1"/>
      <protection locked="0"/>
    </xf>
    <xf numFmtId="41" fontId="1" fillId="3" borderId="6" xfId="0" applyNumberFormat="1" applyFont="1" applyFill="1" applyBorder="1" applyAlignment="1" applyProtection="1">
      <alignment vertical="top"/>
      <protection locked="0"/>
    </xf>
    <xf numFmtId="43" fontId="1" fillId="8" borderId="6" xfId="1" applyFont="1" applyFill="1" applyBorder="1" applyAlignment="1">
      <alignment vertical="top"/>
    </xf>
    <xf numFmtId="41" fontId="1" fillId="8" borderId="6" xfId="1" applyNumberFormat="1" applyFont="1" applyFill="1" applyBorder="1" applyAlignment="1">
      <alignment vertical="top"/>
    </xf>
    <xf numFmtId="43" fontId="1" fillId="8" borderId="6" xfId="1" applyFont="1" applyFill="1" applyBorder="1" applyAlignment="1">
      <alignment vertical="top" wrapText="1"/>
    </xf>
    <xf numFmtId="41" fontId="1" fillId="2" borderId="6" xfId="1" applyNumberFormat="1" applyFont="1" applyFill="1" applyBorder="1" applyAlignment="1">
      <alignment vertical="top"/>
    </xf>
    <xf numFmtId="41" fontId="1" fillId="0" borderId="6" xfId="0" applyNumberFormat="1" applyFont="1" applyBorder="1" applyAlignment="1">
      <alignment vertical="top"/>
    </xf>
    <xf numFmtId="41" fontId="1" fillId="7" borderId="6" xfId="0" applyNumberFormat="1" applyFont="1" applyFill="1" applyBorder="1" applyAlignment="1">
      <alignment vertical="top"/>
    </xf>
    <xf numFmtId="0" fontId="1" fillId="7" borderId="6" xfId="0" applyNumberFormat="1" applyFont="1" applyFill="1" applyBorder="1" applyAlignment="1">
      <alignment vertical="top" wrapText="1"/>
    </xf>
    <xf numFmtId="41" fontId="1" fillId="8" borderId="6" xfId="0" applyNumberFormat="1" applyFont="1" applyFill="1" applyBorder="1" applyAlignment="1">
      <alignment vertical="top"/>
    </xf>
    <xf numFmtId="41" fontId="1" fillId="8" borderId="6" xfId="0" applyNumberFormat="1" applyFont="1" applyFill="1" applyBorder="1" applyAlignment="1">
      <alignment vertical="top" wrapText="1"/>
    </xf>
    <xf numFmtId="41" fontId="1" fillId="3" borderId="6" xfId="0" applyNumberFormat="1" applyFont="1" applyFill="1" applyBorder="1" applyAlignment="1">
      <alignment vertical="top"/>
    </xf>
    <xf numFmtId="41" fontId="1" fillId="2" borderId="6" xfId="0" applyNumberFormat="1" applyFont="1" applyFill="1" applyBorder="1" applyAlignment="1">
      <alignment vertical="top"/>
    </xf>
    <xf numFmtId="164" fontId="1" fillId="7" borderId="0" xfId="0" applyFont="1" applyFill="1" applyAlignment="1">
      <alignment vertical="top"/>
    </xf>
    <xf numFmtId="166" fontId="1" fillId="0" borderId="6" xfId="0" applyNumberFormat="1" applyFont="1" applyBorder="1" applyAlignment="1" applyProtection="1">
      <alignment vertical="top"/>
      <protection locked="0"/>
    </xf>
    <xf numFmtId="166" fontId="1" fillId="0" borderId="6" xfId="0" applyNumberFormat="1" applyFont="1" applyBorder="1" applyAlignment="1" applyProtection="1">
      <alignment vertical="top" wrapText="1"/>
      <protection locked="0"/>
    </xf>
    <xf numFmtId="166" fontId="1" fillId="7" borderId="6" xfId="0" applyNumberFormat="1" applyFont="1" applyFill="1" applyBorder="1" applyAlignment="1" applyProtection="1">
      <alignment vertical="top"/>
      <protection locked="0"/>
    </xf>
    <xf numFmtId="166" fontId="1" fillId="8" borderId="6" xfId="0" applyNumberFormat="1" applyFont="1" applyFill="1" applyBorder="1" applyAlignment="1" applyProtection="1">
      <alignment vertical="top"/>
      <protection locked="0"/>
    </xf>
    <xf numFmtId="166" fontId="1" fillId="8" borderId="6" xfId="0" applyNumberFormat="1" applyFont="1" applyFill="1" applyBorder="1" applyAlignment="1" applyProtection="1">
      <alignment vertical="top" wrapText="1"/>
      <protection locked="0"/>
    </xf>
    <xf numFmtId="166" fontId="1" fillId="3" borderId="6" xfId="0" applyNumberFormat="1" applyFont="1" applyFill="1" applyBorder="1" applyAlignment="1" applyProtection="1">
      <alignment vertical="top"/>
      <protection locked="0"/>
    </xf>
    <xf numFmtId="43" fontId="3" fillId="0" borderId="7" xfId="0" applyNumberFormat="1" applyFont="1" applyBorder="1" applyAlignment="1">
      <alignment vertical="top"/>
    </xf>
    <xf numFmtId="166" fontId="3" fillId="0" borderId="7" xfId="0" applyNumberFormat="1" applyFont="1" applyBorder="1" applyAlignment="1">
      <alignment vertical="top" wrapText="1"/>
    </xf>
    <xf numFmtId="166" fontId="3" fillId="8" borderId="7" xfId="0" applyNumberFormat="1" applyFont="1" applyFill="1" applyBorder="1" applyAlignment="1">
      <alignment vertical="top" wrapText="1"/>
    </xf>
    <xf numFmtId="166" fontId="3" fillId="8" borderId="7" xfId="0" applyNumberFormat="1" applyFont="1" applyFill="1" applyBorder="1" applyAlignment="1">
      <alignment vertical="top"/>
    </xf>
    <xf numFmtId="41" fontId="3" fillId="3" borderId="0" xfId="0" applyNumberFormat="1" applyFont="1" applyFill="1" applyAlignment="1">
      <alignment vertical="top"/>
    </xf>
    <xf numFmtId="5" fontId="1" fillId="8" borderId="0" xfId="0" applyNumberFormat="1" applyFont="1" applyFill="1" applyAlignment="1">
      <alignment vertical="top"/>
    </xf>
    <xf numFmtId="5" fontId="1" fillId="8" borderId="0" xfId="0" applyNumberFormat="1" applyFont="1" applyFill="1" applyAlignment="1">
      <alignment vertical="top" wrapText="1"/>
    </xf>
    <xf numFmtId="164" fontId="1" fillId="3" borderId="0" xfId="0" applyFont="1" applyFill="1" applyAlignment="1">
      <alignment vertical="top"/>
    </xf>
    <xf numFmtId="41" fontId="8" fillId="4" borderId="0" xfId="3" applyNumberFormat="1" applyFont="1" applyFill="1" applyBorder="1" applyAlignment="1" applyProtection="1">
      <alignment horizontal="center" vertical="top"/>
      <protection locked="0"/>
    </xf>
    <xf numFmtId="0" fontId="10" fillId="7" borderId="11" xfId="0" applyNumberFormat="1" applyFont="1" applyFill="1" applyBorder="1" applyAlignment="1" applyProtection="1">
      <alignment horizontal="center" vertical="center" wrapText="1"/>
      <protection locked="0"/>
    </xf>
    <xf numFmtId="0" fontId="10" fillId="11" borderId="11" xfId="0" applyNumberFormat="1" applyFont="1" applyFill="1" applyBorder="1" applyAlignment="1" applyProtection="1">
      <alignment horizontal="center" vertical="center" wrapText="1"/>
      <protection locked="0"/>
    </xf>
    <xf numFmtId="0" fontId="10" fillId="0" borderId="11" xfId="0" applyNumberFormat="1" applyFont="1" applyBorder="1" applyAlignment="1" applyProtection="1">
      <alignment horizontal="center" vertical="center" wrapText="1"/>
      <protection locked="0"/>
    </xf>
    <xf numFmtId="3" fontId="13" fillId="8" borderId="11" xfId="0" applyNumberFormat="1" applyFont="1" applyFill="1" applyBorder="1" applyAlignment="1">
      <alignment horizontal="center" vertical="center" wrapText="1"/>
    </xf>
    <xf numFmtId="0" fontId="10" fillId="3" borderId="11" xfId="0" applyNumberFormat="1" applyFont="1" applyFill="1" applyBorder="1" applyAlignment="1" applyProtection="1">
      <alignment horizontal="center" vertical="center" wrapText="1"/>
      <protection locked="0"/>
    </xf>
    <xf numFmtId="41" fontId="1" fillId="16" borderId="0" xfId="0" applyNumberFormat="1" applyFont="1" applyFill="1" applyAlignment="1">
      <alignment vertical="top"/>
    </xf>
    <xf numFmtId="164" fontId="34" fillId="0" borderId="0" xfId="0" applyFont="1" applyAlignment="1">
      <alignment wrapText="1"/>
    </xf>
    <xf numFmtId="37" fontId="1" fillId="0" borderId="0" xfId="0" applyNumberFormat="1" applyFont="1" applyAlignment="1">
      <alignment horizontal="right" vertical="top"/>
    </xf>
    <xf numFmtId="37" fontId="1" fillId="0" borderId="7" xfId="0" applyNumberFormat="1" applyFont="1" applyBorder="1" applyAlignment="1">
      <alignment vertical="top"/>
    </xf>
    <xf numFmtId="41" fontId="1" fillId="0" borderId="7" xfId="0" applyNumberFormat="1" applyFont="1" applyBorder="1" applyAlignment="1" applyProtection="1">
      <alignment vertical="top"/>
      <protection locked="0"/>
    </xf>
    <xf numFmtId="41" fontId="1" fillId="7" borderId="7" xfId="0" applyNumberFormat="1" applyFont="1" applyFill="1" applyBorder="1" applyAlignment="1" applyProtection="1">
      <alignment vertical="top"/>
      <protection locked="0"/>
    </xf>
    <xf numFmtId="0" fontId="1" fillId="7" borderId="7" xfId="0" applyNumberFormat="1" applyFont="1" applyFill="1" applyBorder="1" applyAlignment="1" applyProtection="1">
      <alignment vertical="top" wrapText="1"/>
      <protection locked="0"/>
    </xf>
    <xf numFmtId="41" fontId="1" fillId="8" borderId="7" xfId="0" applyNumberFormat="1" applyFont="1" applyFill="1" applyBorder="1" applyAlignment="1" applyProtection="1">
      <alignment vertical="top"/>
      <protection locked="0"/>
    </xf>
    <xf numFmtId="41" fontId="1" fillId="8" borderId="7" xfId="0" applyNumberFormat="1" applyFont="1" applyFill="1" applyBorder="1" applyAlignment="1" applyProtection="1">
      <alignment vertical="top" wrapText="1"/>
      <protection locked="0"/>
    </xf>
    <xf numFmtId="41" fontId="1" fillId="3" borderId="7" xfId="0" applyNumberFormat="1" applyFont="1" applyFill="1" applyBorder="1" applyAlignment="1" applyProtection="1">
      <alignment vertical="top"/>
      <protection locked="0"/>
    </xf>
    <xf numFmtId="3" fontId="25" fillId="0" borderId="0" xfId="0" applyNumberFormat="1" applyFont="1" applyAlignment="1">
      <alignment vertical="top"/>
    </xf>
    <xf numFmtId="0" fontId="1" fillId="7" borderId="0" xfId="0" applyNumberFormat="1" applyFont="1" applyFill="1" applyAlignment="1">
      <alignment horizontal="left" vertical="top" wrapText="1"/>
    </xf>
    <xf numFmtId="3" fontId="1" fillId="0" borderId="0" xfId="0" applyNumberFormat="1" applyFont="1" applyAlignment="1">
      <alignment horizontal="right" vertical="top"/>
    </xf>
    <xf numFmtId="0" fontId="1" fillId="7" borderId="0" xfId="0" applyNumberFormat="1" applyFont="1" applyFill="1" applyAlignment="1">
      <alignment horizontal="left" vertical="center" wrapText="1"/>
    </xf>
    <xf numFmtId="41" fontId="1" fillId="7" borderId="0" xfId="0" applyNumberFormat="1" applyFont="1" applyFill="1" applyAlignment="1">
      <alignment horizontal="right" vertical="top"/>
    </xf>
    <xf numFmtId="41" fontId="1" fillId="17" borderId="0" xfId="0" applyNumberFormat="1" applyFont="1" applyFill="1" applyAlignment="1">
      <alignment vertical="top"/>
    </xf>
    <xf numFmtId="0" fontId="1" fillId="7" borderId="7" xfId="0" applyNumberFormat="1" applyFont="1" applyFill="1" applyBorder="1" applyAlignment="1">
      <alignment vertical="top" wrapText="1"/>
    </xf>
    <xf numFmtId="0" fontId="37" fillId="7" borderId="0" xfId="0" applyNumberFormat="1" applyFont="1" applyFill="1" applyAlignment="1">
      <alignment vertical="top" wrapText="1"/>
    </xf>
    <xf numFmtId="41" fontId="1" fillId="16" borderId="0" xfId="0" applyNumberFormat="1" applyFont="1" applyFill="1" applyAlignment="1" applyProtection="1">
      <alignment vertical="top" wrapText="1"/>
      <protection locked="0"/>
    </xf>
    <xf numFmtId="164" fontId="3" fillId="7" borderId="7" xfId="0" applyFont="1" applyFill="1" applyBorder="1" applyAlignment="1">
      <alignment vertical="top"/>
    </xf>
    <xf numFmtId="41" fontId="1" fillId="8" borderId="0" xfId="1" applyNumberFormat="1" applyFont="1" applyFill="1" applyAlignment="1">
      <alignment vertical="top"/>
    </xf>
    <xf numFmtId="41" fontId="1" fillId="8" borderId="0" xfId="1" applyNumberFormat="1" applyFont="1" applyFill="1" applyAlignment="1" applyProtection="1">
      <alignment vertical="top"/>
      <protection locked="0"/>
    </xf>
    <xf numFmtId="0" fontId="1" fillId="0" borderId="0" xfId="0" applyNumberFormat="1" applyFont="1" applyAlignment="1">
      <alignment vertical="center"/>
    </xf>
    <xf numFmtId="164" fontId="1" fillId="0" borderId="0" xfId="0" applyFont="1" applyAlignment="1">
      <alignment vertical="center"/>
    </xf>
    <xf numFmtId="0" fontId="3" fillId="7" borderId="10" xfId="0" applyNumberFormat="1" applyFont="1" applyFill="1" applyBorder="1" applyAlignment="1" applyProtection="1">
      <alignment vertical="top" wrapText="1"/>
      <protection locked="0"/>
    </xf>
    <xf numFmtId="41" fontId="3" fillId="8" borderId="10" xfId="0" applyNumberFormat="1" applyFont="1" applyFill="1" applyBorder="1" applyAlignment="1" applyProtection="1">
      <alignment vertical="top"/>
      <protection locked="0"/>
    </xf>
    <xf numFmtId="41" fontId="3" fillId="8" borderId="10" xfId="0" applyNumberFormat="1" applyFont="1" applyFill="1" applyBorder="1" applyAlignment="1" applyProtection="1">
      <alignment vertical="top" wrapText="1"/>
      <protection locked="0"/>
    </xf>
    <xf numFmtId="41" fontId="3" fillId="3" borderId="10" xfId="0" applyNumberFormat="1" applyFont="1" applyFill="1" applyBorder="1" applyAlignment="1" applyProtection="1">
      <alignment vertical="top"/>
      <protection locked="0"/>
    </xf>
    <xf numFmtId="164" fontId="3" fillId="0" borderId="10" xfId="0" applyFont="1" applyBorder="1" applyAlignment="1">
      <alignment vertical="top"/>
    </xf>
    <xf numFmtId="0" fontId="3" fillId="0" borderId="0" xfId="0" applyNumberFormat="1" applyFont="1" applyAlignment="1" applyProtection="1">
      <alignment vertical="top" wrapText="1"/>
      <protection locked="0"/>
    </xf>
    <xf numFmtId="5" fontId="1" fillId="3" borderId="0" xfId="0" applyNumberFormat="1" applyFont="1" applyFill="1" applyAlignment="1">
      <alignment vertical="top" wrapText="1"/>
    </xf>
    <xf numFmtId="37" fontId="3" fillId="0" borderId="0" xfId="0" applyNumberFormat="1" applyFont="1" applyAlignment="1">
      <alignment horizontal="left" vertical="top"/>
    </xf>
    <xf numFmtId="41" fontId="3" fillId="0" borderId="0" xfId="0" applyNumberFormat="1" applyFont="1" applyAlignment="1">
      <alignment horizontal="left" vertical="top"/>
    </xf>
    <xf numFmtId="41" fontId="3" fillId="3" borderId="0" xfId="0" applyNumberFormat="1" applyFont="1" applyFill="1" applyAlignment="1">
      <alignment horizontal="left" vertical="top"/>
    </xf>
    <xf numFmtId="3" fontId="1" fillId="0" borderId="0" xfId="0" applyNumberFormat="1" applyFont="1" applyAlignment="1">
      <alignment horizontal="center" vertical="top"/>
    </xf>
    <xf numFmtId="0" fontId="3" fillId="7" borderId="2" xfId="0" applyNumberFormat="1" applyFont="1" applyFill="1" applyBorder="1" applyAlignment="1" applyProtection="1">
      <alignment horizontal="center" vertical="top" wrapText="1"/>
      <protection locked="0"/>
    </xf>
    <xf numFmtId="166" fontId="24" fillId="8" borderId="11" xfId="1" applyNumberFormat="1" applyFont="1" applyFill="1" applyBorder="1" applyAlignment="1" applyProtection="1">
      <alignment horizontal="center" vertical="center" wrapText="1"/>
      <protection locked="0"/>
    </xf>
    <xf numFmtId="0" fontId="3" fillId="2" borderId="4" xfId="0" applyNumberFormat="1" applyFont="1" applyFill="1" applyBorder="1" applyAlignment="1" applyProtection="1">
      <alignment horizontal="center" vertical="center" wrapText="1"/>
      <protection locked="0"/>
    </xf>
    <xf numFmtId="37" fontId="3" fillId="0" borderId="0" xfId="0" applyNumberFormat="1" applyFont="1" applyAlignment="1">
      <alignment horizontal="center" vertical="top"/>
    </xf>
    <xf numFmtId="37" fontId="1" fillId="0" borderId="0" xfId="0" applyNumberFormat="1" applyFont="1" applyAlignment="1">
      <alignment horizontal="left" vertical="top" wrapText="1"/>
    </xf>
    <xf numFmtId="37" fontId="1" fillId="0" borderId="0" xfId="0" applyNumberFormat="1" applyFont="1" applyAlignment="1">
      <alignment horizontal="left" vertical="top"/>
    </xf>
    <xf numFmtId="9" fontId="1" fillId="7" borderId="0" xfId="2" applyFont="1" applyFill="1" applyBorder="1" applyAlignment="1">
      <alignment vertical="top" wrapText="1"/>
    </xf>
    <xf numFmtId="37" fontId="0" fillId="10" borderId="0" xfId="0" applyNumberFormat="1" applyFill="1" applyAlignment="1">
      <alignment vertical="top"/>
    </xf>
    <xf numFmtId="37" fontId="1" fillId="0" borderId="0" xfId="0" quotePrefix="1" applyNumberFormat="1" applyFont="1" applyAlignment="1">
      <alignment horizontal="center" vertical="top"/>
    </xf>
    <xf numFmtId="37" fontId="1" fillId="0" borderId="0" xfId="0" quotePrefix="1" applyNumberFormat="1" applyFont="1" applyAlignment="1">
      <alignment horizontal="center" vertical="top" wrapText="1"/>
    </xf>
    <xf numFmtId="166" fontId="1" fillId="2" borderId="0" xfId="0" applyNumberFormat="1" applyFont="1" applyFill="1" applyAlignment="1">
      <alignment vertical="top"/>
    </xf>
    <xf numFmtId="37" fontId="3" fillId="0" borderId="7" xfId="0" applyNumberFormat="1" applyFont="1" applyBorder="1" applyAlignment="1">
      <alignment horizontal="center" vertical="top"/>
    </xf>
    <xf numFmtId="3" fontId="1" fillId="7" borderId="0" xfId="0" applyNumberFormat="1" applyFont="1" applyFill="1" applyAlignment="1">
      <alignment vertical="top"/>
    </xf>
    <xf numFmtId="37" fontId="3" fillId="0" borderId="10" xfId="0" applyNumberFormat="1" applyFont="1" applyBorder="1" applyAlignment="1">
      <alignment horizontal="center" vertical="top"/>
    </xf>
    <xf numFmtId="0" fontId="3" fillId="7" borderId="10" xfId="0" applyNumberFormat="1" applyFont="1" applyFill="1" applyBorder="1" applyAlignment="1">
      <alignment vertical="top" wrapText="1"/>
    </xf>
    <xf numFmtId="9" fontId="3" fillId="0" borderId="0" xfId="2" applyFont="1" applyAlignment="1">
      <alignment vertical="top"/>
    </xf>
    <xf numFmtId="164" fontId="1" fillId="0" borderId="0" xfId="0" applyFont="1" applyAlignment="1">
      <alignment horizontal="center" vertical="top"/>
    </xf>
    <xf numFmtId="37" fontId="10" fillId="0" borderId="0" xfId="0" applyNumberFormat="1" applyFont="1" applyAlignment="1">
      <alignment horizontal="center" vertical="top"/>
    </xf>
    <xf numFmtId="41" fontId="0" fillId="7" borderId="0" xfId="0" applyNumberFormat="1" applyFill="1" applyAlignment="1">
      <alignment vertical="top" wrapText="1"/>
    </xf>
    <xf numFmtId="37" fontId="0" fillId="2" borderId="0" xfId="0" applyNumberFormat="1" applyFill="1" applyAlignment="1">
      <alignment vertical="top"/>
    </xf>
    <xf numFmtId="37" fontId="0" fillId="12" borderId="0" xfId="0" applyNumberFormat="1" applyFill="1" applyAlignment="1">
      <alignment vertical="top"/>
    </xf>
    <xf numFmtId="41" fontId="0" fillId="5" borderId="0" xfId="0" applyNumberFormat="1" applyFill="1" applyAlignment="1" applyProtection="1">
      <alignment vertical="top" wrapText="1"/>
      <protection locked="0"/>
    </xf>
    <xf numFmtId="37" fontId="0" fillId="16" borderId="0" xfId="0" applyNumberFormat="1" applyFill="1" applyAlignment="1">
      <alignment vertical="top"/>
    </xf>
    <xf numFmtId="37" fontId="10" fillId="0" borderId="7" xfId="0" applyNumberFormat="1" applyFont="1" applyBorder="1" applyAlignment="1">
      <alignment vertical="top"/>
    </xf>
    <xf numFmtId="41" fontId="10" fillId="0" borderId="7" xfId="0" applyNumberFormat="1" applyFont="1" applyBorder="1" applyAlignment="1">
      <alignment vertical="top"/>
    </xf>
    <xf numFmtId="41" fontId="10" fillId="7" borderId="7" xfId="0" applyNumberFormat="1" applyFont="1" applyFill="1" applyBorder="1" applyAlignment="1">
      <alignment vertical="top"/>
    </xf>
    <xf numFmtId="41" fontId="10" fillId="7" borderId="7" xfId="0" applyNumberFormat="1" applyFont="1" applyFill="1" applyBorder="1" applyAlignment="1">
      <alignment vertical="top" wrapText="1"/>
    </xf>
    <xf numFmtId="41" fontId="10" fillId="8" borderId="7" xfId="0" applyNumberFormat="1" applyFont="1" applyFill="1" applyBorder="1" applyAlignment="1">
      <alignment vertical="top" wrapText="1"/>
    </xf>
    <xf numFmtId="41" fontId="10" fillId="3" borderId="7" xfId="0" applyNumberFormat="1" applyFont="1" applyFill="1" applyBorder="1" applyAlignment="1">
      <alignment vertical="top"/>
    </xf>
    <xf numFmtId="166" fontId="0" fillId="8" borderId="0" xfId="0" applyNumberFormat="1" applyFill="1" applyAlignment="1" applyProtection="1">
      <alignment vertical="top"/>
      <protection locked="0"/>
    </xf>
    <xf numFmtId="166" fontId="0" fillId="16" borderId="0" xfId="0" applyNumberFormat="1" applyFill="1" applyAlignment="1" applyProtection="1">
      <alignment vertical="top"/>
      <protection locked="0"/>
    </xf>
    <xf numFmtId="0" fontId="0" fillId="0" borderId="6" xfId="0" applyNumberFormat="1" applyBorder="1" applyAlignment="1">
      <alignment horizontal="center" vertical="top"/>
    </xf>
    <xf numFmtId="37" fontId="0" fillId="0" borderId="6" xfId="0" applyNumberFormat="1" applyBorder="1" applyAlignment="1">
      <alignment vertical="top"/>
    </xf>
    <xf numFmtId="41" fontId="0" fillId="0" borderId="6" xfId="0" applyNumberFormat="1" applyBorder="1" applyAlignment="1">
      <alignment vertical="top"/>
    </xf>
    <xf numFmtId="166" fontId="0" fillId="0" borderId="6" xfId="0" applyNumberFormat="1" applyBorder="1" applyAlignment="1" applyProtection="1">
      <alignment vertical="top"/>
      <protection locked="0"/>
    </xf>
    <xf numFmtId="166" fontId="0" fillId="0" borderId="6" xfId="0" applyNumberFormat="1" applyBorder="1" applyAlignment="1" applyProtection="1">
      <alignment vertical="top" wrapText="1"/>
      <protection locked="0"/>
    </xf>
    <xf numFmtId="166" fontId="0" fillId="7" borderId="6" xfId="0" applyNumberFormat="1" applyFill="1" applyBorder="1" applyAlignment="1" applyProtection="1">
      <alignment vertical="top"/>
      <protection locked="0"/>
    </xf>
    <xf numFmtId="41" fontId="0" fillId="7" borderId="6" xfId="0" applyNumberFormat="1" applyFill="1" applyBorder="1" applyAlignment="1">
      <alignment vertical="top" wrapText="1"/>
    </xf>
    <xf numFmtId="166" fontId="0" fillId="8" borderId="6" xfId="0" applyNumberFormat="1" applyFill="1" applyBorder="1" applyAlignment="1" applyProtection="1">
      <alignment vertical="top"/>
      <protection locked="0"/>
    </xf>
    <xf numFmtId="166" fontId="0" fillId="8" borderId="6" xfId="0" applyNumberFormat="1" applyFill="1" applyBorder="1" applyAlignment="1" applyProtection="1">
      <alignment vertical="top" wrapText="1"/>
      <protection locked="0"/>
    </xf>
    <xf numFmtId="166" fontId="0" fillId="3" borderId="6" xfId="0" applyNumberFormat="1" applyFill="1" applyBorder="1" applyAlignment="1" applyProtection="1">
      <alignment vertical="top"/>
      <protection locked="0"/>
    </xf>
    <xf numFmtId="166" fontId="0" fillId="2" borderId="6" xfId="0" applyNumberFormat="1" applyFill="1" applyBorder="1" applyAlignment="1" applyProtection="1">
      <alignment vertical="top"/>
      <protection locked="0"/>
    </xf>
    <xf numFmtId="37" fontId="0" fillId="7" borderId="0" xfId="0" applyNumberFormat="1" applyFill="1" applyAlignment="1">
      <alignment vertical="top"/>
    </xf>
    <xf numFmtId="0" fontId="0" fillId="0" borderId="5" xfId="0" applyNumberFormat="1" applyBorder="1" applyAlignment="1">
      <alignment horizontal="center" vertical="top"/>
    </xf>
    <xf numFmtId="37" fontId="0" fillId="0" borderId="5" xfId="0" applyNumberFormat="1" applyBorder="1" applyAlignment="1">
      <alignment vertical="top" wrapText="1"/>
    </xf>
    <xf numFmtId="41" fontId="0" fillId="0" borderId="5" xfId="0" applyNumberFormat="1" applyBorder="1" applyAlignment="1">
      <alignment vertical="top"/>
    </xf>
    <xf numFmtId="41" fontId="0" fillId="0" borderId="5" xfId="0" applyNumberFormat="1" applyBorder="1" applyAlignment="1" applyProtection="1">
      <alignment vertical="top"/>
      <protection locked="0"/>
    </xf>
    <xf numFmtId="41" fontId="0" fillId="0" borderId="5" xfId="0" applyNumberFormat="1" applyBorder="1" applyAlignment="1" applyProtection="1">
      <alignment vertical="top" wrapText="1"/>
      <protection locked="0"/>
    </xf>
    <xf numFmtId="41" fontId="0" fillId="7" borderId="5" xfId="0" applyNumberFormat="1" applyFill="1" applyBorder="1" applyAlignment="1" applyProtection="1">
      <alignment vertical="top"/>
      <protection locked="0"/>
    </xf>
    <xf numFmtId="41" fontId="0" fillId="12" borderId="5" xfId="0" applyNumberFormat="1" applyFill="1" applyBorder="1" applyAlignment="1" applyProtection="1">
      <alignment vertical="top"/>
      <protection locked="0"/>
    </xf>
    <xf numFmtId="37" fontId="0" fillId="8" borderId="5" xfId="0" applyNumberFormat="1" applyFill="1" applyBorder="1" applyAlignment="1">
      <alignment vertical="top"/>
    </xf>
    <xf numFmtId="41" fontId="0" fillId="8" borderId="5" xfId="0" applyNumberFormat="1" applyFill="1" applyBorder="1" applyAlignment="1">
      <alignment vertical="top"/>
    </xf>
    <xf numFmtId="37" fontId="0" fillId="8" borderId="5" xfId="0" applyNumberFormat="1" applyFill="1" applyBorder="1" applyAlignment="1">
      <alignment vertical="top" wrapText="1"/>
    </xf>
    <xf numFmtId="41" fontId="0" fillId="3" borderId="5" xfId="0" applyNumberFormat="1" applyFill="1" applyBorder="1" applyAlignment="1" applyProtection="1">
      <alignment vertical="top"/>
      <protection locked="0"/>
    </xf>
    <xf numFmtId="37" fontId="0" fillId="0" borderId="5" xfId="0" applyNumberFormat="1" applyBorder="1" applyAlignment="1">
      <alignment vertical="top"/>
    </xf>
    <xf numFmtId="41" fontId="0" fillId="2" borderId="6" xfId="0" applyNumberFormat="1" applyFill="1" applyBorder="1" applyAlignment="1">
      <alignment vertical="top"/>
    </xf>
    <xf numFmtId="41" fontId="10" fillId="0" borderId="7" xfId="0" applyNumberFormat="1" applyFont="1" applyBorder="1" applyAlignment="1">
      <alignment vertical="top" wrapText="1"/>
    </xf>
    <xf numFmtId="41" fontId="0" fillId="7" borderId="7" xfId="0" applyNumberFormat="1" applyFill="1" applyBorder="1" applyAlignment="1">
      <alignment vertical="top" wrapText="1"/>
    </xf>
    <xf numFmtId="37" fontId="0" fillId="7" borderId="0" xfId="0" applyNumberFormat="1" applyFill="1" applyAlignment="1">
      <alignment vertical="top" wrapText="1"/>
    </xf>
    <xf numFmtId="165" fontId="0" fillId="8" borderId="0" xfId="2" applyNumberFormat="1" applyFont="1" applyFill="1" applyAlignment="1">
      <alignment vertical="top"/>
    </xf>
    <xf numFmtId="41" fontId="10" fillId="7" borderId="7" xfId="0" applyNumberFormat="1" applyFont="1" applyFill="1" applyBorder="1" applyAlignment="1" applyProtection="1">
      <alignment vertical="top" wrapText="1"/>
      <protection locked="0"/>
    </xf>
    <xf numFmtId="41" fontId="10" fillId="8" borderId="7" xfId="0" applyNumberFormat="1" applyFont="1" applyFill="1" applyBorder="1" applyAlignment="1" applyProtection="1">
      <alignment vertical="top" wrapText="1"/>
      <protection locked="0"/>
    </xf>
    <xf numFmtId="37" fontId="0" fillId="6" borderId="0" xfId="0" applyNumberFormat="1" applyFill="1" applyAlignment="1">
      <alignment vertical="top" wrapText="1"/>
    </xf>
    <xf numFmtId="41" fontId="9" fillId="7" borderId="0" xfId="0" applyNumberFormat="1" applyFont="1" applyFill="1" applyAlignment="1">
      <alignment vertical="top" wrapText="1"/>
    </xf>
    <xf numFmtId="37" fontId="0" fillId="0" borderId="0" xfId="0" quotePrefix="1" applyNumberFormat="1" applyAlignment="1">
      <alignment horizontal="left" vertical="top" indent="2"/>
    </xf>
    <xf numFmtId="49" fontId="0" fillId="7" borderId="0" xfId="0" applyNumberFormat="1" applyFill="1" applyAlignment="1">
      <alignment vertical="top" wrapText="1"/>
    </xf>
    <xf numFmtId="41" fontId="10" fillId="8" borderId="0" xfId="0" applyNumberFormat="1" applyFont="1" applyFill="1" applyAlignment="1">
      <alignment vertical="top"/>
    </xf>
    <xf numFmtId="37" fontId="10" fillId="8" borderId="7" xfId="0" applyNumberFormat="1" applyFont="1" applyFill="1" applyBorder="1" applyAlignment="1">
      <alignment vertical="top" wrapText="1"/>
    </xf>
    <xf numFmtId="37" fontId="0" fillId="12" borderId="0" xfId="0" applyNumberFormat="1" applyFill="1" applyAlignment="1">
      <alignment vertical="top" wrapText="1"/>
    </xf>
    <xf numFmtId="41" fontId="0" fillId="8" borderId="6" xfId="0" applyNumberFormat="1" applyFill="1" applyBorder="1" applyAlignment="1" applyProtection="1">
      <alignment vertical="top"/>
      <protection locked="0"/>
    </xf>
    <xf numFmtId="37" fontId="0" fillId="8" borderId="6" xfId="0" applyNumberFormat="1" applyFill="1" applyBorder="1" applyAlignment="1">
      <alignment vertical="top" wrapText="1"/>
    </xf>
    <xf numFmtId="41" fontId="0" fillId="0" borderId="6" xfId="0" applyNumberFormat="1" applyBorder="1" applyAlignment="1">
      <alignment vertical="top" wrapText="1"/>
    </xf>
    <xf numFmtId="41" fontId="0" fillId="7" borderId="6" xfId="0" applyNumberFormat="1" applyFill="1" applyBorder="1" applyAlignment="1">
      <alignment vertical="top"/>
    </xf>
    <xf numFmtId="41" fontId="0" fillId="8" borderId="6" xfId="0" applyNumberFormat="1" applyFill="1" applyBorder="1" applyAlignment="1">
      <alignment vertical="top"/>
    </xf>
    <xf numFmtId="41" fontId="0" fillId="3" borderId="6" xfId="0" applyNumberFormat="1" applyFill="1" applyBorder="1" applyAlignment="1">
      <alignment vertical="top"/>
    </xf>
    <xf numFmtId="37" fontId="0" fillId="3" borderId="0" xfId="0" applyNumberFormat="1" applyFill="1" applyAlignment="1">
      <alignment vertical="top"/>
    </xf>
    <xf numFmtId="41" fontId="10" fillId="7" borderId="0" xfId="0" applyNumberFormat="1" applyFont="1" applyFill="1" applyAlignment="1">
      <alignment vertical="top" wrapText="1"/>
    </xf>
    <xf numFmtId="41" fontId="10" fillId="8" borderId="6" xfId="0" applyNumberFormat="1" applyFont="1" applyFill="1" applyBorder="1" applyAlignment="1" applyProtection="1">
      <alignment vertical="top"/>
      <protection locked="0"/>
    </xf>
    <xf numFmtId="37" fontId="10" fillId="8" borderId="10" xfId="0" applyNumberFormat="1" applyFont="1" applyFill="1" applyBorder="1" applyAlignment="1">
      <alignment vertical="top" wrapText="1"/>
    </xf>
    <xf numFmtId="164" fontId="0" fillId="0" borderId="0" xfId="0" applyAlignment="1">
      <alignment wrapText="1"/>
    </xf>
    <xf numFmtId="164" fontId="0" fillId="3" borderId="0" xfId="0" applyFill="1"/>
    <xf numFmtId="167" fontId="8" fillId="0" borderId="0" xfId="3" applyNumberFormat="1" applyFont="1" applyFill="1" applyBorder="1" applyAlignment="1" applyProtection="1">
      <alignment horizontal="center" vertical="top"/>
      <protection locked="0"/>
    </xf>
    <xf numFmtId="9" fontId="0" fillId="0" borderId="0" xfId="2" applyFont="1" applyBorder="1" applyAlignment="1">
      <alignment vertical="top"/>
    </xf>
    <xf numFmtId="167" fontId="0" fillId="0" borderId="0" xfId="0" applyNumberFormat="1" applyAlignment="1">
      <alignment vertical="top"/>
    </xf>
    <xf numFmtId="0" fontId="38" fillId="7" borderId="12" xfId="5" applyNumberFormat="1" applyFont="1" applyFill="1" applyBorder="1" applyAlignment="1">
      <alignment horizontal="center" vertical="center" wrapText="1"/>
    </xf>
    <xf numFmtId="0" fontId="38" fillId="7" borderId="13" xfId="5" applyNumberFormat="1" applyFont="1" applyFill="1" applyBorder="1" applyAlignment="1">
      <alignment horizontal="center" vertical="center" wrapText="1"/>
    </xf>
    <xf numFmtId="167" fontId="38" fillId="7" borderId="13" xfId="5" applyNumberFormat="1" applyFont="1" applyFill="1" applyBorder="1" applyAlignment="1">
      <alignment horizontal="center" vertical="center" wrapText="1"/>
    </xf>
    <xf numFmtId="0" fontId="38" fillId="3" borderId="14" xfId="5" applyNumberFormat="1" applyFont="1" applyFill="1" applyBorder="1" applyAlignment="1">
      <alignment horizontal="center" vertical="center" wrapText="1"/>
    </xf>
    <xf numFmtId="0" fontId="38" fillId="3" borderId="7" xfId="5" applyNumberFormat="1" applyFont="1" applyFill="1" applyBorder="1" applyAlignment="1">
      <alignment horizontal="center" vertical="center" wrapText="1"/>
    </xf>
    <xf numFmtId="0" fontId="38" fillId="3" borderId="15" xfId="5" applyNumberFormat="1" applyFont="1" applyFill="1" applyBorder="1" applyAlignment="1">
      <alignment horizontal="center" vertical="center" wrapText="1"/>
    </xf>
    <xf numFmtId="164" fontId="38" fillId="8" borderId="16" xfId="5" applyFont="1" applyFill="1" applyBorder="1" applyAlignment="1">
      <alignment horizontal="center" vertical="center" wrapText="1"/>
    </xf>
    <xf numFmtId="0" fontId="38" fillId="7" borderId="15" xfId="5" applyNumberFormat="1" applyFont="1" applyFill="1" applyBorder="1" applyAlignment="1">
      <alignment horizontal="center" vertical="center" wrapText="1"/>
    </xf>
    <xf numFmtId="164" fontId="38" fillId="8" borderId="6" xfId="5" applyFont="1" applyFill="1" applyBorder="1" applyAlignment="1">
      <alignment horizontal="center" vertical="center" wrapText="1"/>
    </xf>
    <xf numFmtId="0" fontId="38" fillId="2" borderId="6" xfId="5" applyNumberFormat="1" applyFont="1" applyFill="1" applyBorder="1" applyAlignment="1">
      <alignment horizontal="center" vertical="center" wrapText="1"/>
    </xf>
    <xf numFmtId="0" fontId="38" fillId="3" borderId="0" xfId="5" applyNumberFormat="1" applyFont="1" applyFill="1" applyAlignment="1">
      <alignment vertical="center"/>
    </xf>
    <xf numFmtId="0" fontId="38" fillId="7" borderId="12" xfId="5" applyNumberFormat="1" applyFont="1" applyFill="1" applyBorder="1" applyAlignment="1">
      <alignment horizontal="center" vertical="top" wrapText="1"/>
    </xf>
    <xf numFmtId="0" fontId="38" fillId="7" borderId="13" xfId="5" applyNumberFormat="1" applyFont="1" applyFill="1" applyBorder="1" applyAlignment="1">
      <alignment horizontal="center" vertical="top" wrapText="1"/>
    </xf>
    <xf numFmtId="167" fontId="38" fillId="7" borderId="16" xfId="5" applyNumberFormat="1" applyFont="1" applyFill="1" applyBorder="1" applyAlignment="1">
      <alignment horizontal="center" vertical="top" wrapText="1"/>
    </xf>
    <xf numFmtId="0" fontId="38" fillId="0" borderId="14" xfId="5" applyNumberFormat="1" applyFont="1" applyBorder="1" applyAlignment="1">
      <alignment horizontal="center" vertical="top" wrapText="1"/>
    </xf>
    <xf numFmtId="0" fontId="38" fillId="0" borderId="7" xfId="5" applyNumberFormat="1" applyFont="1" applyBorder="1" applyAlignment="1">
      <alignment horizontal="center" vertical="top" wrapText="1"/>
    </xf>
    <xf numFmtId="0" fontId="38" fillId="0" borderId="15" xfId="5" applyNumberFormat="1" applyFont="1" applyBorder="1" applyAlignment="1">
      <alignment horizontal="center" vertical="top" wrapText="1"/>
    </xf>
    <xf numFmtId="0" fontId="38" fillId="0" borderId="6" xfId="5" applyNumberFormat="1" applyFont="1" applyBorder="1" applyAlignment="1">
      <alignment horizontal="center" vertical="top" wrapText="1"/>
    </xf>
    <xf numFmtId="0" fontId="38" fillId="2" borderId="6" xfId="5" applyNumberFormat="1" applyFont="1" applyFill="1" applyBorder="1" applyAlignment="1">
      <alignment horizontal="center" vertical="top" wrapText="1"/>
    </xf>
    <xf numFmtId="0" fontId="38" fillId="3" borderId="0" xfId="5" applyNumberFormat="1" applyFont="1" applyFill="1" applyAlignment="1">
      <alignment vertical="top"/>
    </xf>
    <xf numFmtId="164" fontId="23" fillId="7" borderId="11" xfId="5" applyFont="1" applyFill="1" applyBorder="1" applyAlignment="1">
      <alignment vertical="top"/>
    </xf>
    <xf numFmtId="164" fontId="23" fillId="7" borderId="11" xfId="5" applyFont="1" applyFill="1" applyBorder="1" applyAlignment="1">
      <alignment horizontal="center" vertical="top"/>
    </xf>
    <xf numFmtId="167" fontId="23" fillId="7" borderId="11" xfId="5" applyNumberFormat="1" applyFont="1" applyFill="1" applyBorder="1" applyAlignment="1">
      <alignment horizontal="center" vertical="top"/>
    </xf>
    <xf numFmtId="164" fontId="23" fillId="0" borderId="11" xfId="5" applyFont="1" applyBorder="1" applyAlignment="1">
      <alignment horizontal="center" vertical="top"/>
    </xf>
    <xf numFmtId="164" fontId="23" fillId="8" borderId="11" xfId="5" applyFont="1" applyFill="1" applyBorder="1" applyAlignment="1">
      <alignment horizontal="center" vertical="top"/>
    </xf>
    <xf numFmtId="164" fontId="23" fillId="8" borderId="14" xfId="5" applyFont="1" applyFill="1" applyBorder="1" applyAlignment="1">
      <alignment horizontal="center" vertical="top"/>
    </xf>
    <xf numFmtId="164" fontId="23" fillId="2" borderId="14" xfId="5" applyFont="1" applyFill="1" applyBorder="1" applyAlignment="1">
      <alignment horizontal="center" vertical="top"/>
    </xf>
    <xf numFmtId="164" fontId="23" fillId="3" borderId="0" xfId="5" applyFont="1" applyFill="1" applyAlignment="1">
      <alignment vertical="top"/>
    </xf>
    <xf numFmtId="164" fontId="23" fillId="3" borderId="0" xfId="5" applyFont="1" applyFill="1" applyAlignment="1">
      <alignment horizontal="center" vertical="top" wrapText="1"/>
    </xf>
    <xf numFmtId="164" fontId="23" fillId="3" borderId="0" xfId="5" applyFont="1" applyFill="1" applyAlignment="1">
      <alignment horizontal="center" vertical="top"/>
    </xf>
    <xf numFmtId="167" fontId="23" fillId="3" borderId="0" xfId="5" applyNumberFormat="1" applyFont="1" applyFill="1" applyAlignment="1">
      <alignment horizontal="center" vertical="top"/>
    </xf>
    <xf numFmtId="164" fontId="23" fillId="7" borderId="0" xfId="5" applyFont="1" applyFill="1" applyAlignment="1">
      <alignment vertical="top"/>
    </xf>
    <xf numFmtId="164" fontId="23" fillId="8" borderId="0" xfId="5" applyFont="1" applyFill="1" applyAlignment="1">
      <alignment vertical="top"/>
    </xf>
    <xf numFmtId="9" fontId="23" fillId="3" borderId="0" xfId="2" applyFont="1" applyFill="1" applyBorder="1" applyAlignment="1">
      <alignment vertical="top"/>
    </xf>
    <xf numFmtId="41" fontId="23" fillId="3" borderId="0" xfId="5" applyNumberFormat="1" applyFont="1" applyFill="1" applyAlignment="1">
      <alignment vertical="top"/>
    </xf>
    <xf numFmtId="164" fontId="39" fillId="3" borderId="0" xfId="5" applyFont="1" applyFill="1" applyAlignment="1">
      <alignment vertical="top"/>
    </xf>
    <xf numFmtId="3" fontId="23" fillId="3" borderId="0" xfId="5" applyNumberFormat="1" applyFont="1" applyFill="1" applyAlignment="1">
      <alignment horizontal="center" vertical="top" wrapText="1"/>
    </xf>
    <xf numFmtId="3" fontId="23" fillId="3" borderId="0" xfId="5" applyNumberFormat="1" applyFont="1" applyFill="1" applyAlignment="1">
      <alignment horizontal="center" vertical="top"/>
    </xf>
    <xf numFmtId="3" fontId="23" fillId="7" borderId="0" xfId="5" applyNumberFormat="1" applyFont="1" applyFill="1" applyAlignment="1">
      <alignment vertical="top"/>
    </xf>
    <xf numFmtId="3" fontId="23" fillId="8" borderId="0" xfId="5" applyNumberFormat="1" applyFont="1" applyFill="1" applyAlignment="1">
      <alignment vertical="top"/>
    </xf>
    <xf numFmtId="3" fontId="23" fillId="3" borderId="0" xfId="5" applyNumberFormat="1" applyFont="1" applyFill="1" applyAlignment="1">
      <alignment vertical="top"/>
    </xf>
    <xf numFmtId="9" fontId="23" fillId="3" borderId="0" xfId="5" applyNumberFormat="1" applyFont="1" applyFill="1" applyAlignment="1">
      <alignment vertical="top"/>
    </xf>
    <xf numFmtId="167" fontId="23" fillId="3" borderId="0" xfId="5" quotePrefix="1" applyNumberFormat="1" applyFont="1" applyFill="1" applyAlignment="1">
      <alignment horizontal="center" vertical="top"/>
    </xf>
    <xf numFmtId="3" fontId="23" fillId="3" borderId="0" xfId="5" quotePrefix="1" applyNumberFormat="1" applyFont="1" applyFill="1" applyAlignment="1">
      <alignment horizontal="center" vertical="top"/>
    </xf>
    <xf numFmtId="3" fontId="38" fillId="3" borderId="6" xfId="5" applyNumberFormat="1" applyFont="1" applyFill="1" applyBorder="1" applyAlignment="1">
      <alignment horizontal="center" vertical="top" wrapText="1"/>
    </xf>
    <xf numFmtId="3" fontId="38" fillId="7" borderId="6" xfId="5" applyNumberFormat="1" applyFont="1" applyFill="1" applyBorder="1" applyAlignment="1">
      <alignment horizontal="center" vertical="top" wrapText="1"/>
    </xf>
    <xf numFmtId="3" fontId="38" fillId="8" borderId="6" xfId="5" applyNumberFormat="1" applyFont="1" applyFill="1" applyBorder="1" applyAlignment="1">
      <alignment vertical="top"/>
    </xf>
    <xf numFmtId="3" fontId="38" fillId="3" borderId="6" xfId="5" applyNumberFormat="1" applyFont="1" applyFill="1" applyBorder="1" applyAlignment="1">
      <alignment vertical="top"/>
    </xf>
    <xf numFmtId="3" fontId="38" fillId="3" borderId="0" xfId="5" applyNumberFormat="1" applyFont="1" applyFill="1" applyAlignment="1">
      <alignment vertical="top"/>
    </xf>
    <xf numFmtId="3" fontId="38" fillId="3" borderId="0" xfId="5" applyNumberFormat="1" applyFont="1" applyFill="1" applyAlignment="1">
      <alignment horizontal="center" vertical="top" wrapText="1"/>
    </xf>
    <xf numFmtId="167" fontId="38" fillId="3" borderId="0" xfId="5" applyNumberFormat="1" applyFont="1" applyFill="1" applyAlignment="1">
      <alignment horizontal="center" vertical="top" wrapText="1"/>
    </xf>
    <xf numFmtId="9" fontId="38" fillId="3" borderId="0" xfId="2" applyFont="1" applyFill="1" applyBorder="1" applyAlignment="1">
      <alignment vertical="top"/>
    </xf>
    <xf numFmtId="3" fontId="38" fillId="15" borderId="0" xfId="5" applyNumberFormat="1" applyFont="1" applyFill="1" applyAlignment="1">
      <alignment horizontal="center" vertical="top" wrapText="1"/>
    </xf>
    <xf numFmtId="9" fontId="38" fillId="3" borderId="0" xfId="2" applyFont="1" applyFill="1" applyAlignment="1">
      <alignment vertical="top"/>
    </xf>
    <xf numFmtId="9" fontId="38" fillId="3" borderId="0" xfId="2" applyFont="1" applyFill="1" applyAlignment="1">
      <alignment horizontal="center" vertical="top" wrapText="1"/>
    </xf>
    <xf numFmtId="3" fontId="38" fillId="3" borderId="0" xfId="5" applyNumberFormat="1" applyFont="1" applyFill="1" applyAlignment="1">
      <alignment horizontal="center" vertical="top"/>
    </xf>
    <xf numFmtId="167" fontId="38" fillId="3" borderId="0" xfId="5" applyNumberFormat="1" applyFont="1" applyFill="1" applyAlignment="1">
      <alignment horizontal="center" vertical="top"/>
    </xf>
    <xf numFmtId="41" fontId="38" fillId="3" borderId="0" xfId="5" applyNumberFormat="1" applyFont="1" applyFill="1" applyAlignment="1">
      <alignment vertical="top"/>
    </xf>
    <xf numFmtId="167" fontId="23" fillId="3" borderId="0" xfId="5" applyNumberFormat="1" applyFont="1" applyFill="1" applyAlignment="1">
      <alignment horizontal="center" vertical="top" wrapText="1"/>
    </xf>
    <xf numFmtId="164" fontId="23" fillId="3" borderId="0" xfId="5" applyFont="1" applyFill="1" applyAlignment="1">
      <alignment vertical="top" wrapText="1"/>
    </xf>
    <xf numFmtId="164" fontId="39" fillId="3" borderId="0" xfId="5" applyFont="1" applyFill="1" applyAlignment="1">
      <alignment horizontal="center" vertical="top" wrapText="1"/>
    </xf>
    <xf numFmtId="10" fontId="23" fillId="3" borderId="0" xfId="6" applyNumberFormat="1" applyFont="1" applyFill="1" applyAlignment="1">
      <alignment vertical="top"/>
    </xf>
    <xf numFmtId="10" fontId="23" fillId="3" borderId="0" xfId="5" applyNumberFormat="1" applyFont="1" applyFill="1" applyAlignment="1">
      <alignment vertical="top"/>
    </xf>
    <xf numFmtId="41" fontId="23" fillId="3" borderId="0" xfId="2" applyNumberFormat="1" applyFont="1" applyFill="1" applyBorder="1" applyAlignment="1">
      <alignment vertical="top"/>
    </xf>
    <xf numFmtId="165" fontId="23" fillId="3" borderId="0" xfId="2" applyNumberFormat="1" applyFont="1" applyFill="1" applyBorder="1" applyAlignment="1">
      <alignment vertical="top"/>
    </xf>
    <xf numFmtId="41" fontId="23" fillId="3" borderId="0" xfId="2" applyNumberFormat="1" applyFont="1" applyFill="1" applyAlignment="1">
      <alignment vertical="top"/>
    </xf>
    <xf numFmtId="165" fontId="23" fillId="3" borderId="0" xfId="2" applyNumberFormat="1" applyFont="1" applyFill="1" applyAlignment="1">
      <alignment vertical="top"/>
    </xf>
    <xf numFmtId="168" fontId="23" fillId="3" borderId="0" xfId="5" applyNumberFormat="1" applyFont="1" applyFill="1" applyAlignment="1">
      <alignment vertical="top"/>
    </xf>
    <xf numFmtId="0" fontId="10" fillId="0" borderId="0" xfId="0" applyNumberFormat="1" applyFont="1" applyAlignment="1">
      <alignment horizontal="left" vertical="top"/>
    </xf>
    <xf numFmtId="41" fontId="23" fillId="3" borderId="13" xfId="5" applyNumberFormat="1" applyFont="1" applyFill="1" applyBorder="1" applyAlignment="1">
      <alignment horizontal="center" vertical="top" wrapText="1"/>
    </xf>
    <xf numFmtId="41" fontId="23" fillId="3" borderId="18" xfId="5" applyNumberFormat="1" applyFont="1" applyFill="1" applyBorder="1" applyAlignment="1">
      <alignment horizontal="center" vertical="top" wrapText="1"/>
    </xf>
    <xf numFmtId="41" fontId="23" fillId="3" borderId="20" xfId="5" applyNumberFormat="1" applyFont="1" applyFill="1" applyBorder="1" applyAlignment="1">
      <alignment horizontal="center" vertical="top" wrapText="1"/>
    </xf>
    <xf numFmtId="0" fontId="38" fillId="7" borderId="14" xfId="5" applyNumberFormat="1" applyFont="1" applyFill="1" applyBorder="1" applyAlignment="1">
      <alignment horizontal="center" vertical="center" wrapText="1"/>
    </xf>
    <xf numFmtId="0" fontId="38" fillId="7" borderId="7" xfId="5" applyNumberFormat="1" applyFont="1" applyFill="1" applyBorder="1" applyAlignment="1">
      <alignment horizontal="center" vertical="center" wrapText="1"/>
    </xf>
    <xf numFmtId="0" fontId="38" fillId="7" borderId="15" xfId="5" applyNumberFormat="1" applyFont="1" applyFill="1" applyBorder="1" applyAlignment="1">
      <alignment horizontal="center" vertical="center" wrapText="1"/>
    </xf>
    <xf numFmtId="0" fontId="38" fillId="8" borderId="14" xfId="5" applyNumberFormat="1" applyFont="1" applyFill="1" applyBorder="1" applyAlignment="1">
      <alignment horizontal="center" vertical="center" wrapText="1"/>
    </xf>
    <xf numFmtId="0" fontId="38" fillId="8" borderId="7" xfId="5" applyNumberFormat="1" applyFont="1" applyFill="1" applyBorder="1" applyAlignment="1">
      <alignment horizontal="center" vertical="center" wrapText="1"/>
    </xf>
    <xf numFmtId="0" fontId="38" fillId="8" borderId="15" xfId="5" applyNumberFormat="1" applyFont="1" applyFill="1" applyBorder="1" applyAlignment="1">
      <alignment horizontal="center" vertical="center" wrapText="1"/>
    </xf>
    <xf numFmtId="9" fontId="23" fillId="3" borderId="0" xfId="2" applyFont="1" applyFill="1" applyBorder="1" applyAlignment="1">
      <alignment horizontal="center" vertical="top" wrapText="1"/>
    </xf>
    <xf numFmtId="41" fontId="23" fillId="3" borderId="0" xfId="5" applyNumberFormat="1" applyFont="1" applyFill="1" applyAlignment="1">
      <alignment horizontal="center" vertical="top" wrapText="1"/>
    </xf>
    <xf numFmtId="164" fontId="23" fillId="3" borderId="0" xfId="5" applyFont="1" applyFill="1" applyAlignment="1">
      <alignment horizontal="center" vertical="top" wrapText="1"/>
    </xf>
    <xf numFmtId="41" fontId="23" fillId="3" borderId="12" xfId="5" applyNumberFormat="1" applyFont="1" applyFill="1" applyBorder="1" applyAlignment="1">
      <alignment horizontal="center" vertical="top" wrapText="1"/>
    </xf>
    <xf numFmtId="41" fontId="23" fillId="3" borderId="17" xfId="5" applyNumberFormat="1" applyFont="1" applyFill="1" applyBorder="1" applyAlignment="1">
      <alignment horizontal="center" vertical="top" wrapText="1"/>
    </xf>
    <xf numFmtId="41" fontId="23" fillId="3" borderId="19" xfId="5" applyNumberFormat="1" applyFont="1" applyFill="1" applyBorder="1" applyAlignment="1">
      <alignment horizontal="center" vertical="top" wrapText="1"/>
    </xf>
  </cellXfs>
  <cellStyles count="7">
    <cellStyle name="Comma" xfId="1" builtinId="3"/>
    <cellStyle name="Hyperlink" xfId="3" builtinId="8"/>
    <cellStyle name="Normal" xfId="0" builtinId="0"/>
    <cellStyle name="Normal 2 4" xfId="5" xr:uid="{C3D6606C-E411-4CE0-9FEB-92F09F4DE3F4}"/>
    <cellStyle name="Percent" xfId="2" builtinId="5"/>
    <cellStyle name="Percent 2" xfId="6" xr:uid="{3D20A387-9AC9-4631-A3A1-BDAFAA68346F}"/>
    <cellStyle name="Percent 3" xfId="4" xr:uid="{FFCEBEE7-6B3B-4951-A3A4-34BD7C67E5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murray\AppData\Local\Microsoft\Windows\Temporary%20Internet%20Files\Content.Outlook\LKOW2G90\Diocese%20Commitment%20Set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CTL\Year%20Ends\11fs\Commitment\April%202011%20Diocesan%20Commitmen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C%202022%20budget%202023-2024%20draft%20(NKB)%2001242022%206pm.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TRO\Docs\KBarnes\COVID-19\2021%20Budget\(NKB%20work%20copy)%202019-2021%20Adopted%20Oct%202019%20COVID-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C%202023%202024%20budget%20draft%20(NKB).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Ecumenical%20EC%202023%202024%20Ecumenical--%20Interreligiou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ress"/>
      <sheetName val="Account Number"/>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vision Rec."/>
      <sheetName val="JE Form  (2)"/>
      <sheetName val="JE Form "/>
      <sheetName val="Journal Entry"/>
      <sheetName val="Accrual History"/>
      <sheetName val="Present value Comm."/>
      <sheetName val="2011 Tracking"/>
      <sheetName val="2010 Tracking"/>
      <sheetName val="2009 Tracking"/>
      <sheetName val="2008 Tracking "/>
      <sheetName val="2009 Accrual Trans."/>
      <sheetName val="1101 Rec."/>
      <sheetName val="12-07 YE Accrual"/>
      <sheetName val="12-06 YE Accrual"/>
      <sheetName val="12-05 YE Accrual"/>
      <sheetName val="Master for 2006"/>
      <sheetName val="Master for 2008"/>
      <sheetName val="2011 Kurts file"/>
      <sheetName val="New co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7">
          <cell r="E7" t="str">
            <v>Alabama</v>
          </cell>
          <cell r="F7">
            <v>2429931</v>
          </cell>
          <cell r="G7">
            <v>415251</v>
          </cell>
          <cell r="H7">
            <v>0.18</v>
          </cell>
          <cell r="J7" t="str">
            <v>Alabama</v>
          </cell>
          <cell r="K7" t="str">
            <v>No</v>
          </cell>
        </row>
        <row r="8">
          <cell r="E8" t="str">
            <v>Adj. to budget</v>
          </cell>
          <cell r="G8">
            <v>-546519</v>
          </cell>
        </row>
        <row r="9">
          <cell r="E9" t="str">
            <v>Alaska</v>
          </cell>
          <cell r="F9">
            <v>488676</v>
          </cell>
          <cell r="G9">
            <v>73740</v>
          </cell>
          <cell r="H9">
            <v>0.2</v>
          </cell>
          <cell r="J9" t="str">
            <v>Alaska</v>
          </cell>
          <cell r="K9" t="str">
            <v>Yes</v>
          </cell>
        </row>
        <row r="10">
          <cell r="E10" t="str">
            <v>Albany</v>
          </cell>
          <cell r="F10">
            <v>1297541</v>
          </cell>
          <cell r="G10">
            <v>125371</v>
          </cell>
          <cell r="H10">
            <v>0.106</v>
          </cell>
          <cell r="J10" t="str">
            <v>Albany</v>
          </cell>
          <cell r="K10" t="str">
            <v>No</v>
          </cell>
        </row>
        <row r="11">
          <cell r="E11" t="str">
            <v>Arizona</v>
          </cell>
          <cell r="F11">
            <v>2411433</v>
          </cell>
          <cell r="G11">
            <v>458300</v>
          </cell>
          <cell r="H11">
            <v>0.2</v>
          </cell>
          <cell r="J11" t="str">
            <v>Arizona</v>
          </cell>
          <cell r="K11" t="str">
            <v>Yes</v>
          </cell>
        </row>
        <row r="12">
          <cell r="E12" t="str">
            <v>Arkansas</v>
          </cell>
          <cell r="F12">
            <v>1208545</v>
          </cell>
          <cell r="G12">
            <v>0</v>
          </cell>
          <cell r="H12">
            <v>0</v>
          </cell>
          <cell r="J12" t="str">
            <v>Arkansas</v>
          </cell>
          <cell r="K12" t="str">
            <v>No</v>
          </cell>
        </row>
        <row r="13">
          <cell r="E13" t="str">
            <v>Atlanta</v>
          </cell>
          <cell r="F13">
            <v>4093658</v>
          </cell>
          <cell r="G13">
            <v>794732</v>
          </cell>
          <cell r="H13">
            <v>0.2</v>
          </cell>
          <cell r="J13" t="str">
            <v>Atlanta</v>
          </cell>
          <cell r="K13" t="str">
            <v>Yes</v>
          </cell>
        </row>
        <row r="14">
          <cell r="E14" t="str">
            <v>Bethlehem</v>
          </cell>
          <cell r="F14">
            <v>1410522</v>
          </cell>
          <cell r="G14">
            <v>93500</v>
          </cell>
          <cell r="H14">
            <v>7.1999999999999995E-2</v>
          </cell>
          <cell r="I14" t="e">
            <v>#REF!</v>
          </cell>
          <cell r="J14" t="str">
            <v>Bethlehem</v>
          </cell>
          <cell r="K14" t="str">
            <v>Yes</v>
          </cell>
        </row>
        <row r="15">
          <cell r="E15" t="str">
            <v>California</v>
          </cell>
          <cell r="F15">
            <v>3624316</v>
          </cell>
          <cell r="G15">
            <v>700863</v>
          </cell>
          <cell r="H15">
            <v>0.2</v>
          </cell>
          <cell r="I15" t="e">
            <v>#REF!</v>
          </cell>
          <cell r="J15" t="str">
            <v>California</v>
          </cell>
          <cell r="K15" t="str">
            <v>Yes</v>
          </cell>
        </row>
        <row r="16">
          <cell r="E16" t="str">
            <v>Central Florida</v>
          </cell>
          <cell r="F16">
            <v>2108552</v>
          </cell>
          <cell r="G16">
            <v>0</v>
          </cell>
          <cell r="H16">
            <v>0</v>
          </cell>
          <cell r="I16">
            <v>0</v>
          </cell>
          <cell r="J16" t="str">
            <v>Central Florida</v>
          </cell>
          <cell r="K16" t="str">
            <v>No</v>
          </cell>
        </row>
        <row r="17">
          <cell r="E17" t="str">
            <v>Central Gulf Coast</v>
          </cell>
          <cell r="F17">
            <v>1484833</v>
          </cell>
          <cell r="G17">
            <v>129040</v>
          </cell>
          <cell r="H17">
            <v>9.5000000000000001E-2</v>
          </cell>
          <cell r="I17" t="e">
            <v>#REF!</v>
          </cell>
          <cell r="J17" t="str">
            <v>Central Gulf Coast</v>
          </cell>
          <cell r="K17" t="str">
            <v>Yes</v>
          </cell>
        </row>
        <row r="18">
          <cell r="E18" t="str">
            <v>Central New York</v>
          </cell>
          <cell r="F18">
            <v>1749848</v>
          </cell>
          <cell r="G18">
            <v>306557</v>
          </cell>
          <cell r="H18">
            <v>0.188</v>
          </cell>
          <cell r="I18" t="e">
            <v>#REF!</v>
          </cell>
          <cell r="J18" t="str">
            <v>Central New York</v>
          </cell>
          <cell r="K18" t="str">
            <v>No</v>
          </cell>
        </row>
        <row r="19">
          <cell r="E19" t="str">
            <v>Central Pennsylvania</v>
          </cell>
          <cell r="F19">
            <v>1490803</v>
          </cell>
          <cell r="G19">
            <v>274161</v>
          </cell>
          <cell r="H19">
            <v>0.2</v>
          </cell>
          <cell r="I19" t="e">
            <v>#REF!</v>
          </cell>
          <cell r="J19" t="str">
            <v>Central Pennsylvania</v>
          </cell>
          <cell r="K19" t="str">
            <v>Yes</v>
          </cell>
        </row>
        <row r="20">
          <cell r="E20" t="str">
            <v>Chicago</v>
          </cell>
          <cell r="F20">
            <v>3096034</v>
          </cell>
          <cell r="G20">
            <v>595212</v>
          </cell>
          <cell r="H20">
            <v>0.2</v>
          </cell>
          <cell r="I20" t="e">
            <v>#REF!</v>
          </cell>
          <cell r="J20" t="str">
            <v>Chicago</v>
          </cell>
          <cell r="K20" t="str">
            <v>Yes</v>
          </cell>
        </row>
        <row r="21">
          <cell r="E21" t="str">
            <v>Colombia</v>
          </cell>
          <cell r="F21">
            <v>254139</v>
          </cell>
          <cell r="G21">
            <v>0</v>
          </cell>
          <cell r="H21">
            <v>0</v>
          </cell>
          <cell r="I21">
            <v>0</v>
          </cell>
          <cell r="J21" t="str">
            <v>Colombia</v>
          </cell>
          <cell r="K21" t="str">
            <v>No</v>
          </cell>
        </row>
        <row r="22">
          <cell r="E22" t="str">
            <v>Colorado</v>
          </cell>
          <cell r="F22">
            <v>1663013</v>
          </cell>
          <cell r="G22">
            <v>158856</v>
          </cell>
          <cell r="H22">
            <v>0.10299999999999999</v>
          </cell>
          <cell r="I22" t="e">
            <v>#REF!</v>
          </cell>
          <cell r="J22" t="str">
            <v>Colorado</v>
          </cell>
          <cell r="K22" t="str">
            <v>No</v>
          </cell>
        </row>
        <row r="23">
          <cell r="E23" t="str">
            <v>Connecticut</v>
          </cell>
          <cell r="F23">
            <v>5137958</v>
          </cell>
          <cell r="G23">
            <v>1041250</v>
          </cell>
          <cell r="H23">
            <v>0.20799999999999999</v>
          </cell>
          <cell r="I23" t="e">
            <v>#REF!</v>
          </cell>
          <cell r="J23" t="str">
            <v>Connecticut</v>
          </cell>
          <cell r="K23" t="str">
            <v>Yes</v>
          </cell>
        </row>
        <row r="24">
          <cell r="E24" t="str">
            <v>Conv. of Episc. Churches in  Europe</v>
          </cell>
          <cell r="F24">
            <v>489744</v>
          </cell>
          <cell r="G24">
            <v>27637</v>
          </cell>
          <cell r="H24">
            <v>7.4999999999999997E-2</v>
          </cell>
          <cell r="I24" t="e">
            <v>#REF!</v>
          </cell>
          <cell r="J24" t="str">
            <v>Conv. of Episc. Churches in  Europe</v>
          </cell>
          <cell r="K24" t="str">
            <v>Yes</v>
          </cell>
        </row>
        <row r="25">
          <cell r="E25" t="str">
            <v>Dallas</v>
          </cell>
          <cell r="F25">
            <v>3109236</v>
          </cell>
          <cell r="G25">
            <v>0</v>
          </cell>
          <cell r="H25">
            <v>0</v>
          </cell>
          <cell r="I25">
            <v>0</v>
          </cell>
          <cell r="J25" t="str">
            <v>Dallas</v>
          </cell>
          <cell r="K25" t="str">
            <v>No</v>
          </cell>
        </row>
        <row r="26">
          <cell r="E26" t="str">
            <v>Delaware</v>
          </cell>
          <cell r="F26">
            <v>1456073</v>
          </cell>
          <cell r="G26">
            <v>228000</v>
          </cell>
          <cell r="H26">
            <v>0.17100000000000001</v>
          </cell>
          <cell r="I26" t="e">
            <v>#REF!</v>
          </cell>
          <cell r="J26" t="str">
            <v>Delaware</v>
          </cell>
          <cell r="K26" t="str">
            <v>Yes</v>
          </cell>
        </row>
        <row r="27">
          <cell r="E27" t="str">
            <v>Dominican Republic</v>
          </cell>
          <cell r="F27">
            <v>0</v>
          </cell>
          <cell r="G27">
            <v>10000</v>
          </cell>
          <cell r="H27" t="str">
            <v xml:space="preserve">n/a </v>
          </cell>
          <cell r="I27" t="e">
            <v>#REF!</v>
          </cell>
          <cell r="J27" t="str">
            <v>Dominican Republic</v>
          </cell>
          <cell r="K27" t="str">
            <v>Yes</v>
          </cell>
        </row>
        <row r="28">
          <cell r="E28" t="str">
            <v>East Carolina</v>
          </cell>
          <cell r="F28">
            <v>1194403</v>
          </cell>
          <cell r="G28">
            <v>0</v>
          </cell>
          <cell r="H28">
            <v>0</v>
          </cell>
          <cell r="I28">
            <v>0</v>
          </cell>
          <cell r="J28" t="str">
            <v>East Carolina</v>
          </cell>
          <cell r="K28" t="str">
            <v>No</v>
          </cell>
        </row>
        <row r="29">
          <cell r="E29" t="str">
            <v>East Tennessee</v>
          </cell>
          <cell r="F29">
            <v>1678984</v>
          </cell>
          <cell r="G29">
            <v>325023</v>
          </cell>
          <cell r="H29">
            <v>0.20799999999999999</v>
          </cell>
          <cell r="I29" t="e">
            <v>#REF!</v>
          </cell>
          <cell r="J29" t="str">
            <v>East Tennessee</v>
          </cell>
          <cell r="K29" t="str">
            <v>Yes</v>
          </cell>
        </row>
        <row r="30">
          <cell r="E30" t="str">
            <v>Eastern Michigan</v>
          </cell>
          <cell r="F30">
            <v>803947</v>
          </cell>
          <cell r="G30">
            <v>80395</v>
          </cell>
          <cell r="H30">
            <v>0.11799999999999999</v>
          </cell>
          <cell r="I30" t="e">
            <v>#REF!</v>
          </cell>
          <cell r="J30" t="str">
            <v>Eastern Michigan</v>
          </cell>
          <cell r="K30" t="str">
            <v>Yes</v>
          </cell>
        </row>
        <row r="31">
          <cell r="E31" t="str">
            <v>Eastern Oregon</v>
          </cell>
          <cell r="F31">
            <v>548487</v>
          </cell>
          <cell r="G31">
            <v>83412</v>
          </cell>
          <cell r="H31">
            <v>0.19500000000000001</v>
          </cell>
          <cell r="I31" t="e">
            <v>#REF!</v>
          </cell>
          <cell r="J31" t="str">
            <v>Eastern Oregon</v>
          </cell>
          <cell r="K31" t="str">
            <v>No</v>
          </cell>
        </row>
        <row r="32">
          <cell r="E32" t="str">
            <v>Easton</v>
          </cell>
          <cell r="F32">
            <v>726074</v>
          </cell>
          <cell r="G32">
            <v>121215</v>
          </cell>
          <cell r="H32">
            <v>0.2</v>
          </cell>
          <cell r="I32" t="e">
            <v>#REF!</v>
          </cell>
          <cell r="J32" t="str">
            <v>Easton</v>
          </cell>
          <cell r="K32" t="str">
            <v>Yes</v>
          </cell>
        </row>
        <row r="33">
          <cell r="E33" t="str">
            <v>Eau Claire</v>
          </cell>
          <cell r="F33">
            <v>253481</v>
          </cell>
          <cell r="G33">
            <v>26696</v>
          </cell>
          <cell r="H33">
            <v>0.2</v>
          </cell>
          <cell r="I33" t="e">
            <v>#REF!</v>
          </cell>
          <cell r="J33" t="str">
            <v>Eau Claire</v>
          </cell>
          <cell r="K33" t="str">
            <v>No</v>
          </cell>
        </row>
        <row r="34">
          <cell r="E34" t="str">
            <v>Ecuador Central</v>
          </cell>
          <cell r="F34">
            <v>0</v>
          </cell>
          <cell r="G34">
            <v>0</v>
          </cell>
          <cell r="H34" t="str">
            <v xml:space="preserve">n/a </v>
          </cell>
          <cell r="I34">
            <v>0</v>
          </cell>
          <cell r="J34" t="str">
            <v>Ecuador Central</v>
          </cell>
          <cell r="K34" t="str">
            <v>No</v>
          </cell>
        </row>
        <row r="35">
          <cell r="E35" t="str">
            <v>Ecuador Litoral</v>
          </cell>
          <cell r="F35">
            <v>191780</v>
          </cell>
          <cell r="G35">
            <v>0</v>
          </cell>
          <cell r="H35">
            <v>0</v>
          </cell>
          <cell r="I35">
            <v>0</v>
          </cell>
          <cell r="J35" t="str">
            <v>Ecuador Litoral</v>
          </cell>
          <cell r="K35" t="str">
            <v>No</v>
          </cell>
        </row>
        <row r="36">
          <cell r="E36" t="str">
            <v>El Camino Real</v>
          </cell>
          <cell r="F36">
            <v>1264427</v>
          </cell>
          <cell r="G36">
            <v>187988</v>
          </cell>
          <cell r="H36">
            <v>0.16400000000000001</v>
          </cell>
          <cell r="I36" t="e">
            <v>#REF!</v>
          </cell>
          <cell r="J36" t="str">
            <v>El Camino Real</v>
          </cell>
          <cell r="K36" t="str">
            <v>No</v>
          </cell>
        </row>
        <row r="37">
          <cell r="E37" t="str">
            <v>Florida</v>
          </cell>
          <cell r="F37" t="str">
            <v xml:space="preserve">No Report </v>
          </cell>
          <cell r="G37">
            <v>167500</v>
          </cell>
          <cell r="H37" t="str">
            <v xml:space="preserve">n/a </v>
          </cell>
          <cell r="I37" t="e">
            <v>#REF!</v>
          </cell>
          <cell r="J37" t="str">
            <v>Florida</v>
          </cell>
          <cell r="K37" t="str">
            <v>Yes</v>
          </cell>
        </row>
        <row r="38">
          <cell r="E38" t="str">
            <v>Fond du Lac</v>
          </cell>
          <cell r="F38">
            <v>588554</v>
          </cell>
          <cell r="G38">
            <v>49000</v>
          </cell>
          <cell r="H38">
            <v>0.105</v>
          </cell>
          <cell r="I38" t="e">
            <v>#REF!</v>
          </cell>
          <cell r="J38" t="str">
            <v>Fond du Lac</v>
          </cell>
          <cell r="K38" t="str">
            <v>No</v>
          </cell>
        </row>
        <row r="39">
          <cell r="E39" t="str">
            <v>Fort Worth</v>
          </cell>
          <cell r="F39">
            <v>202065</v>
          </cell>
          <cell r="G39">
            <v>40000</v>
          </cell>
          <cell r="H39">
            <v>0.48699999999999999</v>
          </cell>
          <cell r="I39" t="e">
            <v>#REF!</v>
          </cell>
          <cell r="J39" t="str">
            <v>Fort Worth</v>
          </cell>
          <cell r="K39" t="str">
            <v>Yes</v>
          </cell>
        </row>
        <row r="40">
          <cell r="E40" t="str">
            <v>Georgia</v>
          </cell>
          <cell r="F40">
            <v>1417119</v>
          </cell>
          <cell r="G40">
            <v>178000</v>
          </cell>
          <cell r="H40">
            <v>0.13700000000000001</v>
          </cell>
          <cell r="I40" t="e">
            <v>#REF!</v>
          </cell>
          <cell r="J40" t="str">
            <v>Georgia</v>
          </cell>
          <cell r="K40" t="str">
            <v>No</v>
          </cell>
        </row>
        <row r="41">
          <cell r="E41" t="str">
            <v>Haiti</v>
          </cell>
          <cell r="F41">
            <v>0</v>
          </cell>
          <cell r="G41">
            <v>0</v>
          </cell>
          <cell r="H41" t="str">
            <v xml:space="preserve">n/a </v>
          </cell>
          <cell r="I41">
            <v>0</v>
          </cell>
          <cell r="J41" t="str">
            <v>Haiti</v>
          </cell>
          <cell r="K41" t="str">
            <v>No</v>
          </cell>
        </row>
        <row r="42">
          <cell r="E42" t="str">
            <v>Hawaii</v>
          </cell>
          <cell r="F42">
            <v>1656474</v>
          </cell>
          <cell r="G42">
            <v>307295</v>
          </cell>
          <cell r="H42">
            <v>0.2</v>
          </cell>
          <cell r="I42" t="e">
            <v>#REF!</v>
          </cell>
          <cell r="J42" t="str">
            <v>Hawaii</v>
          </cell>
          <cell r="K42" t="str">
            <v>Yes</v>
          </cell>
        </row>
        <row r="43">
          <cell r="E43" t="str">
            <v>Honduras</v>
          </cell>
          <cell r="F43">
            <v>0</v>
          </cell>
          <cell r="G43">
            <v>0</v>
          </cell>
          <cell r="H43" t="str">
            <v xml:space="preserve">n/a </v>
          </cell>
          <cell r="I43">
            <v>0</v>
          </cell>
          <cell r="J43" t="str">
            <v>Honduras</v>
          </cell>
          <cell r="K43" t="str">
            <v>No</v>
          </cell>
        </row>
        <row r="44">
          <cell r="E44" t="str">
            <v>Idaho</v>
          </cell>
          <cell r="F44">
            <v>543721</v>
          </cell>
          <cell r="G44">
            <v>90033</v>
          </cell>
          <cell r="H44">
            <v>0.21199999999999999</v>
          </cell>
          <cell r="I44" t="e">
            <v>#REF!</v>
          </cell>
          <cell r="J44" t="str">
            <v>Idaho</v>
          </cell>
          <cell r="K44" t="str">
            <v>Yes</v>
          </cell>
        </row>
        <row r="45">
          <cell r="E45" t="str">
            <v>Indianapolis</v>
          </cell>
          <cell r="F45">
            <v>2941835</v>
          </cell>
          <cell r="G45">
            <v>564367</v>
          </cell>
          <cell r="H45">
            <v>0.2</v>
          </cell>
          <cell r="I45" t="e">
            <v>#REF!</v>
          </cell>
          <cell r="J45" t="str">
            <v>Indianapolis</v>
          </cell>
          <cell r="K45" t="str">
            <v>Yes</v>
          </cell>
        </row>
        <row r="46">
          <cell r="E46" t="str">
            <v>Iowa</v>
          </cell>
          <cell r="F46">
            <v>1102677</v>
          </cell>
          <cell r="G46">
            <v>162119</v>
          </cell>
          <cell r="H46">
            <v>0.16500000000000001</v>
          </cell>
          <cell r="I46" t="e">
            <v>#REF!</v>
          </cell>
          <cell r="J46" t="str">
            <v>Iowa</v>
          </cell>
          <cell r="K46" t="str">
            <v>Yes</v>
          </cell>
        </row>
        <row r="47">
          <cell r="E47" t="str">
            <v>Kansas</v>
          </cell>
          <cell r="F47">
            <v>1486780</v>
          </cell>
          <cell r="G47">
            <v>273356</v>
          </cell>
          <cell r="H47">
            <v>0.2</v>
          </cell>
          <cell r="I47" t="e">
            <v>#REF!</v>
          </cell>
          <cell r="J47" t="str">
            <v>Kansas</v>
          </cell>
          <cell r="K47" t="str">
            <v>Yes</v>
          </cell>
        </row>
        <row r="48">
          <cell r="E48" t="str">
            <v>Kentucky</v>
          </cell>
          <cell r="F48">
            <v>1126010</v>
          </cell>
          <cell r="G48">
            <v>0</v>
          </cell>
          <cell r="H48">
            <v>0</v>
          </cell>
          <cell r="I48">
            <v>0</v>
          </cell>
          <cell r="J48" t="str">
            <v>Kentucky</v>
          </cell>
          <cell r="K48" t="str">
            <v>No</v>
          </cell>
        </row>
        <row r="49">
          <cell r="E49" t="str">
            <v>Lexington</v>
          </cell>
          <cell r="F49">
            <v>1185801</v>
          </cell>
          <cell r="G49">
            <v>213160</v>
          </cell>
          <cell r="H49">
            <v>0.2</v>
          </cell>
          <cell r="I49" t="e">
            <v>#REF!</v>
          </cell>
          <cell r="J49" t="str">
            <v>Lexington</v>
          </cell>
          <cell r="K49" t="str">
            <v>Yes</v>
          </cell>
        </row>
        <row r="50">
          <cell r="E50" t="str">
            <v>Long Island</v>
          </cell>
          <cell r="F50">
            <v>2799347</v>
          </cell>
          <cell r="G50">
            <v>535869</v>
          </cell>
          <cell r="H50">
            <v>0.2</v>
          </cell>
          <cell r="I50" t="e">
            <v>#REF!</v>
          </cell>
          <cell r="J50" t="str">
            <v>Long Island</v>
          </cell>
          <cell r="K50" t="str">
            <v>Yes</v>
          </cell>
        </row>
        <row r="51">
          <cell r="E51" t="str">
            <v>Los Angeles</v>
          </cell>
          <cell r="F51">
            <v>4001305</v>
          </cell>
          <cell r="G51">
            <v>780261</v>
          </cell>
          <cell r="H51">
            <v>0.20100000000000001</v>
          </cell>
          <cell r="I51" t="e">
            <v>#REF!</v>
          </cell>
          <cell r="J51" t="str">
            <v>Los Angeles</v>
          </cell>
          <cell r="K51" t="str">
            <v>No</v>
          </cell>
        </row>
        <row r="52">
          <cell r="E52" t="str">
            <v>Louisiana</v>
          </cell>
          <cell r="F52">
            <v>1279269</v>
          </cell>
          <cell r="G52">
            <v>132069</v>
          </cell>
          <cell r="H52">
            <v>0.114</v>
          </cell>
          <cell r="I52" t="e">
            <v>#REF!</v>
          </cell>
          <cell r="J52" t="str">
            <v>Louisiana</v>
          </cell>
          <cell r="K52" t="str">
            <v>No</v>
          </cell>
        </row>
        <row r="53">
          <cell r="E53" t="str">
            <v>Maine</v>
          </cell>
          <cell r="F53">
            <v>1918560</v>
          </cell>
          <cell r="G53">
            <v>359712</v>
          </cell>
          <cell r="H53">
            <v>0.2</v>
          </cell>
          <cell r="I53" t="e">
            <v>#REF!</v>
          </cell>
          <cell r="J53" t="str">
            <v>Maine</v>
          </cell>
          <cell r="K53" t="str">
            <v>Yes</v>
          </cell>
        </row>
        <row r="54">
          <cell r="E54" t="str">
            <v>Maryland</v>
          </cell>
          <cell r="F54">
            <v>2791319</v>
          </cell>
          <cell r="G54">
            <v>546142</v>
          </cell>
          <cell r="H54">
            <v>0.20399999999999999</v>
          </cell>
          <cell r="I54" t="e">
            <v>#REF!</v>
          </cell>
          <cell r="J54" t="str">
            <v>Maryland</v>
          </cell>
          <cell r="K54" t="str">
            <v>No</v>
          </cell>
        </row>
        <row r="55">
          <cell r="E55" t="str">
            <v>Massachusetts</v>
          </cell>
          <cell r="F55">
            <v>5574228</v>
          </cell>
          <cell r="G55">
            <v>1090848</v>
          </cell>
          <cell r="H55">
            <v>0.2</v>
          </cell>
          <cell r="I55" t="e">
            <v>#REF!</v>
          </cell>
          <cell r="J55" t="str">
            <v>Massachusetts</v>
          </cell>
          <cell r="K55" t="str">
            <v>Yes</v>
          </cell>
        </row>
        <row r="56">
          <cell r="E56" t="str">
            <v>Michigan</v>
          </cell>
          <cell r="F56">
            <v>2524727</v>
          </cell>
          <cell r="G56">
            <v>430316</v>
          </cell>
          <cell r="H56">
            <v>0.17899999999999999</v>
          </cell>
          <cell r="I56" t="e">
            <v>#REF!</v>
          </cell>
          <cell r="J56" t="str">
            <v>Michigan</v>
          </cell>
          <cell r="K56" t="str">
            <v>No</v>
          </cell>
        </row>
        <row r="57">
          <cell r="E57" t="str">
            <v>Milwaukee</v>
          </cell>
          <cell r="F57">
            <v>1321041</v>
          </cell>
          <cell r="G57">
            <v>240208</v>
          </cell>
          <cell r="H57">
            <v>0.2</v>
          </cell>
          <cell r="I57" t="e">
            <v>#REF!</v>
          </cell>
          <cell r="J57" t="str">
            <v>Milwaukee</v>
          </cell>
          <cell r="K57" t="str">
            <v>No</v>
          </cell>
        </row>
        <row r="58">
          <cell r="E58" t="str">
            <v>Minnesota</v>
          </cell>
          <cell r="F58">
            <v>2333849</v>
          </cell>
          <cell r="G58">
            <v>363836</v>
          </cell>
          <cell r="H58">
            <v>0.16400000000000001</v>
          </cell>
          <cell r="I58" t="e">
            <v>#REF!</v>
          </cell>
          <cell r="J58" t="str">
            <v>Minnesota</v>
          </cell>
          <cell r="K58" t="str">
            <v>No</v>
          </cell>
        </row>
        <row r="59">
          <cell r="E59" t="str">
            <v>Mississippi</v>
          </cell>
          <cell r="F59">
            <v>2858882</v>
          </cell>
          <cell r="G59">
            <v>291692</v>
          </cell>
          <cell r="H59">
            <v>0.107</v>
          </cell>
          <cell r="I59" t="e">
            <v>#REF!</v>
          </cell>
          <cell r="J59" t="str">
            <v>Mississippi</v>
          </cell>
          <cell r="K59" t="str">
            <v>Yes</v>
          </cell>
        </row>
        <row r="60">
          <cell r="E60" t="str">
            <v>Missouri</v>
          </cell>
          <cell r="F60">
            <v>2242108</v>
          </cell>
          <cell r="G60">
            <v>325000</v>
          </cell>
          <cell r="H60">
            <v>0.153</v>
          </cell>
          <cell r="I60" t="e">
            <v>#REF!</v>
          </cell>
          <cell r="J60" t="str">
            <v>Missouri</v>
          </cell>
          <cell r="K60" t="str">
            <v>Yes</v>
          </cell>
        </row>
        <row r="61">
          <cell r="E61" t="str">
            <v>Montana</v>
          </cell>
          <cell r="F61">
            <v>636653</v>
          </cell>
          <cell r="G61">
            <v>33796</v>
          </cell>
          <cell r="H61">
            <v>6.5000000000000002E-2</v>
          </cell>
          <cell r="I61" t="e">
            <v>#REF!</v>
          </cell>
          <cell r="J61" t="str">
            <v>Montana</v>
          </cell>
          <cell r="K61" t="str">
            <v>Yes</v>
          </cell>
        </row>
        <row r="62">
          <cell r="E62" t="str">
            <v>Navajoland Area Mission</v>
          </cell>
          <cell r="F62">
            <v>59764</v>
          </cell>
          <cell r="G62">
            <v>0</v>
          </cell>
          <cell r="H62">
            <v>0</v>
          </cell>
          <cell r="I62">
            <v>0</v>
          </cell>
          <cell r="J62" t="str">
            <v>Navajoland Area Mission</v>
          </cell>
          <cell r="K62" t="str">
            <v>No</v>
          </cell>
        </row>
        <row r="63">
          <cell r="E63" t="str">
            <v>Nebraska</v>
          </cell>
          <cell r="F63">
            <v>664538</v>
          </cell>
          <cell r="G63">
            <v>108908</v>
          </cell>
          <cell r="H63">
            <v>0.2</v>
          </cell>
          <cell r="I63" t="e">
            <v>#REF!</v>
          </cell>
          <cell r="J63" t="str">
            <v>Nebraska</v>
          </cell>
          <cell r="K63" t="str">
            <v>Yes</v>
          </cell>
        </row>
        <row r="64">
          <cell r="E64" t="str">
            <v>Nevada</v>
          </cell>
          <cell r="F64">
            <v>704930</v>
          </cell>
          <cell r="G64">
            <v>122835</v>
          </cell>
          <cell r="H64">
            <v>0.21</v>
          </cell>
          <cell r="I64" t="e">
            <v>#REF!</v>
          </cell>
          <cell r="J64" t="str">
            <v>Nevada</v>
          </cell>
          <cell r="K64" t="str">
            <v>No</v>
          </cell>
        </row>
        <row r="65">
          <cell r="E65" t="str">
            <v>New Hampshire</v>
          </cell>
          <cell r="F65">
            <v>1467793</v>
          </cell>
          <cell r="G65">
            <v>269558</v>
          </cell>
          <cell r="H65">
            <v>0.2</v>
          </cell>
          <cell r="I65" t="e">
            <v>#REF!</v>
          </cell>
          <cell r="J65" t="str">
            <v>New Hampshire</v>
          </cell>
          <cell r="K65" t="str">
            <v>Yes</v>
          </cell>
        </row>
        <row r="66">
          <cell r="E66" t="str">
            <v>New Jersey</v>
          </cell>
          <cell r="F66">
            <v>3841005</v>
          </cell>
          <cell r="G66">
            <v>596028</v>
          </cell>
          <cell r="H66">
            <v>0.16</v>
          </cell>
          <cell r="I66" t="e">
            <v>#REF!</v>
          </cell>
          <cell r="J66" t="str">
            <v>New Jersey</v>
          </cell>
          <cell r="K66" t="str">
            <v>No</v>
          </cell>
        </row>
        <row r="67">
          <cell r="E67" t="str">
            <v>New York</v>
          </cell>
          <cell r="F67">
            <v>5009393</v>
          </cell>
          <cell r="G67">
            <v>700000</v>
          </cell>
          <cell r="H67">
            <v>0.14299999999999999</v>
          </cell>
          <cell r="I67" t="e">
            <v>#REF!</v>
          </cell>
          <cell r="J67" t="str">
            <v>New York</v>
          </cell>
          <cell r="K67" t="str">
            <v>Yes</v>
          </cell>
        </row>
        <row r="68">
          <cell r="E68" t="str">
            <v>Newark</v>
          </cell>
          <cell r="F68">
            <v>2581016</v>
          </cell>
          <cell r="G68">
            <v>456752</v>
          </cell>
          <cell r="H68">
            <v>0.186</v>
          </cell>
          <cell r="I68" t="e">
            <v>#REF!</v>
          </cell>
          <cell r="J68" t="str">
            <v>Newark</v>
          </cell>
          <cell r="K68" t="str">
            <v>No</v>
          </cell>
        </row>
        <row r="69">
          <cell r="E69" t="str">
            <v>North Carolina</v>
          </cell>
          <cell r="F69">
            <v>3635586</v>
          </cell>
          <cell r="G69">
            <v>703117</v>
          </cell>
          <cell r="H69">
            <v>0.2</v>
          </cell>
          <cell r="I69" t="e">
            <v>#REF!</v>
          </cell>
          <cell r="J69" t="str">
            <v>North Carolina</v>
          </cell>
          <cell r="K69" t="str">
            <v>Yes</v>
          </cell>
        </row>
        <row r="70">
          <cell r="E70" t="str">
            <v>North Dakota</v>
          </cell>
          <cell r="F70">
            <v>518120</v>
          </cell>
          <cell r="G70">
            <v>42201</v>
          </cell>
          <cell r="H70">
            <v>0.106</v>
          </cell>
          <cell r="I70" t="e">
            <v>#REF!</v>
          </cell>
          <cell r="J70" t="str">
            <v>North Dakota</v>
          </cell>
          <cell r="K70" t="str">
            <v>Yes</v>
          </cell>
        </row>
        <row r="71">
          <cell r="E71" t="str">
            <v>Northern California</v>
          </cell>
          <cell r="F71">
            <v>1904540</v>
          </cell>
          <cell r="G71">
            <v>345975</v>
          </cell>
          <cell r="H71">
            <v>0.19400000000000001</v>
          </cell>
          <cell r="I71" t="e">
            <v>#REF!</v>
          </cell>
          <cell r="J71" t="str">
            <v>Northern California</v>
          </cell>
          <cell r="K71" t="str">
            <v>Yes</v>
          </cell>
        </row>
        <row r="72">
          <cell r="E72" t="str">
            <v>Northern Indiana</v>
          </cell>
          <cell r="F72" t="str">
            <v xml:space="preserve">No Report </v>
          </cell>
          <cell r="G72">
            <v>70482</v>
          </cell>
          <cell r="H72" t="str">
            <v xml:space="preserve">n/a </v>
          </cell>
          <cell r="I72" t="e">
            <v>#REF!</v>
          </cell>
          <cell r="J72" t="str">
            <v>Northern Indiana</v>
          </cell>
          <cell r="K72" t="str">
            <v>Yes</v>
          </cell>
        </row>
        <row r="73">
          <cell r="E73" t="str">
            <v>Northern Michigan</v>
          </cell>
          <cell r="F73" t="str">
            <v xml:space="preserve">No Report </v>
          </cell>
          <cell r="G73">
            <v>50000</v>
          </cell>
          <cell r="H73" t="str">
            <v xml:space="preserve">n/a </v>
          </cell>
          <cell r="I73" t="e">
            <v>#REF!</v>
          </cell>
          <cell r="J73" t="str">
            <v>Northern Michigan</v>
          </cell>
          <cell r="K73" t="str">
            <v>No</v>
          </cell>
        </row>
        <row r="74">
          <cell r="E74" t="str">
            <v>Northwest Texas</v>
          </cell>
          <cell r="F74" t="str">
            <v xml:space="preserve">No Report </v>
          </cell>
          <cell r="G74">
            <v>93148</v>
          </cell>
          <cell r="H74" t="str">
            <v xml:space="preserve">n/a </v>
          </cell>
          <cell r="I74" t="e">
            <v>#REF!</v>
          </cell>
          <cell r="J74" t="str">
            <v>Northwest Texas</v>
          </cell>
          <cell r="K74" t="str">
            <v>Yes</v>
          </cell>
        </row>
        <row r="75">
          <cell r="E75" t="str">
            <v>Northwestern Pennsylvania</v>
          </cell>
          <cell r="F75">
            <v>785575</v>
          </cell>
          <cell r="G75">
            <v>127280</v>
          </cell>
          <cell r="H75">
            <v>0.191</v>
          </cell>
          <cell r="I75" t="e">
            <v>#REF!</v>
          </cell>
          <cell r="J75" t="str">
            <v>Northwestern Pennsylvania</v>
          </cell>
          <cell r="K75" t="str">
            <v>No</v>
          </cell>
        </row>
        <row r="76">
          <cell r="E76" t="str">
            <v>Ohio</v>
          </cell>
          <cell r="F76">
            <v>2844656</v>
          </cell>
          <cell r="G76">
            <v>544900</v>
          </cell>
          <cell r="H76">
            <v>0.2</v>
          </cell>
          <cell r="I76" t="e">
            <v>#REF!</v>
          </cell>
          <cell r="J76" t="str">
            <v>Ohio</v>
          </cell>
          <cell r="K76" t="str">
            <v>No</v>
          </cell>
        </row>
        <row r="77">
          <cell r="E77" t="str">
            <v>Oklahoma</v>
          </cell>
          <cell r="F77">
            <v>1889173</v>
          </cell>
          <cell r="G77">
            <v>353835</v>
          </cell>
          <cell r="H77">
            <v>0.2</v>
          </cell>
          <cell r="I77" t="e">
            <v>#REF!</v>
          </cell>
          <cell r="J77" t="str">
            <v>Oklahoma</v>
          </cell>
          <cell r="K77" t="str">
            <v>Yes</v>
          </cell>
        </row>
        <row r="78">
          <cell r="E78" t="str">
            <v>Olympia</v>
          </cell>
          <cell r="F78">
            <v>3115551</v>
          </cell>
          <cell r="G78">
            <v>599110</v>
          </cell>
          <cell r="H78">
            <v>0.2</v>
          </cell>
          <cell r="I78" t="e">
            <v>#REF!</v>
          </cell>
          <cell r="J78" t="str">
            <v>Olympia</v>
          </cell>
          <cell r="K78" t="str">
            <v>Yes</v>
          </cell>
        </row>
        <row r="79">
          <cell r="E79" t="str">
            <v>Oregon</v>
          </cell>
          <cell r="F79">
            <v>1770607</v>
          </cell>
          <cell r="G79">
            <v>338000</v>
          </cell>
          <cell r="H79">
            <v>0.20499999999999999</v>
          </cell>
          <cell r="I79" t="e">
            <v>#REF!</v>
          </cell>
          <cell r="J79" t="str">
            <v>Oregon</v>
          </cell>
          <cell r="K79" t="str">
            <v>No</v>
          </cell>
        </row>
        <row r="80">
          <cell r="E80" t="str">
            <v>Pennsylvania</v>
          </cell>
          <cell r="F80">
            <v>5096622</v>
          </cell>
          <cell r="G80">
            <v>115076</v>
          </cell>
          <cell r="H80">
            <v>2.3E-2</v>
          </cell>
          <cell r="I80" t="e">
            <v>#REF!</v>
          </cell>
          <cell r="J80" t="str">
            <v>Pennsylvania</v>
          </cell>
          <cell r="K80" t="str">
            <v>No</v>
          </cell>
        </row>
        <row r="81">
          <cell r="E81" t="str">
            <v>Pittsburgh</v>
          </cell>
          <cell r="F81">
            <v>637538</v>
          </cell>
          <cell r="G81">
            <v>100000</v>
          </cell>
          <cell r="H81">
            <v>0.193</v>
          </cell>
          <cell r="I81" t="e">
            <v>#REF!</v>
          </cell>
          <cell r="J81" t="str">
            <v>Pittsburgh</v>
          </cell>
          <cell r="K81" t="str">
            <v>No</v>
          </cell>
        </row>
        <row r="82">
          <cell r="E82" t="str">
            <v>Puerto Rico</v>
          </cell>
          <cell r="F82">
            <v>0</v>
          </cell>
          <cell r="G82">
            <v>0</v>
          </cell>
          <cell r="H82" t="str">
            <v xml:space="preserve">n/a </v>
          </cell>
          <cell r="I82">
            <v>0</v>
          </cell>
          <cell r="J82" t="str">
            <v>Puerto Rico</v>
          </cell>
          <cell r="K82" t="str">
            <v>No</v>
          </cell>
        </row>
        <row r="83">
          <cell r="E83" t="str">
            <v>Quincy</v>
          </cell>
          <cell r="F83">
            <v>87930</v>
          </cell>
          <cell r="G83">
            <v>42000</v>
          </cell>
          <cell r="H83" t="str">
            <v xml:space="preserve">n/a </v>
          </cell>
          <cell r="I83" t="e">
            <v>#REF!</v>
          </cell>
          <cell r="J83" t="str">
            <v>Quincy</v>
          </cell>
          <cell r="K83" t="str">
            <v>No</v>
          </cell>
        </row>
        <row r="84">
          <cell r="E84" t="str">
            <v>Rhode Island</v>
          </cell>
          <cell r="F84">
            <v>2478943</v>
          </cell>
          <cell r="G84">
            <v>471789</v>
          </cell>
          <cell r="H84">
            <v>0.2</v>
          </cell>
          <cell r="I84" t="e">
            <v>#REF!</v>
          </cell>
          <cell r="J84" t="str">
            <v>Rhode Island</v>
          </cell>
          <cell r="K84" t="str">
            <v>Yes</v>
          </cell>
        </row>
        <row r="85">
          <cell r="E85" t="str">
            <v>Rio Grande</v>
          </cell>
          <cell r="F85">
            <v>1259399</v>
          </cell>
          <cell r="G85">
            <v>35000</v>
          </cell>
          <cell r="H85">
            <v>3.1E-2</v>
          </cell>
          <cell r="I85" t="e">
            <v>#REF!</v>
          </cell>
          <cell r="J85" t="str">
            <v>Rio Grande</v>
          </cell>
          <cell r="K85" t="str">
            <v>No</v>
          </cell>
        </row>
        <row r="86">
          <cell r="E86" t="str">
            <v>Rochester</v>
          </cell>
          <cell r="F86">
            <v>1094085</v>
          </cell>
          <cell r="G86">
            <v>194817</v>
          </cell>
          <cell r="H86">
            <v>0.2</v>
          </cell>
          <cell r="I86" t="e">
            <v>#REF!</v>
          </cell>
          <cell r="J86" t="str">
            <v>Rochester</v>
          </cell>
          <cell r="K86" t="str">
            <v>Yes</v>
          </cell>
        </row>
        <row r="87">
          <cell r="E87" t="str">
            <v>San Diego</v>
          </cell>
          <cell r="F87">
            <v>2330730</v>
          </cell>
          <cell r="G87">
            <v>0</v>
          </cell>
          <cell r="H87">
            <v>0</v>
          </cell>
          <cell r="I87">
            <v>0</v>
          </cell>
          <cell r="J87" t="str">
            <v>San Diego</v>
          </cell>
          <cell r="K87" t="str">
            <v>No</v>
          </cell>
        </row>
        <row r="88">
          <cell r="E88" t="str">
            <v>San Joaquin</v>
          </cell>
          <cell r="F88">
            <v>238911</v>
          </cell>
          <cell r="G88">
            <v>3000</v>
          </cell>
          <cell r="H88">
            <v>2.5000000000000001E-2</v>
          </cell>
          <cell r="I88" t="e">
            <v>#REF!</v>
          </cell>
          <cell r="J88" t="str">
            <v>San Joaquin</v>
          </cell>
          <cell r="K88" t="str">
            <v>No</v>
          </cell>
        </row>
        <row r="89">
          <cell r="E89" t="str">
            <v>South Carolina</v>
          </cell>
          <cell r="F89">
            <v>5504006</v>
          </cell>
          <cell r="G89">
            <v>0</v>
          </cell>
          <cell r="H89">
            <v>0</v>
          </cell>
          <cell r="I89">
            <v>0</v>
          </cell>
          <cell r="J89" t="str">
            <v>South Carolina</v>
          </cell>
          <cell r="K89" t="str">
            <v>No</v>
          </cell>
        </row>
        <row r="90">
          <cell r="E90" t="str">
            <v>South Dakota</v>
          </cell>
          <cell r="F90">
            <v>644528</v>
          </cell>
          <cell r="G90">
            <v>27226</v>
          </cell>
          <cell r="H90">
            <v>5.1999999999999998E-2</v>
          </cell>
          <cell r="I90" t="e">
            <v>#REF!</v>
          </cell>
          <cell r="J90" t="str">
            <v>South Dakota</v>
          </cell>
          <cell r="K90" t="str">
            <v>No</v>
          </cell>
        </row>
        <row r="91">
          <cell r="E91" t="str">
            <v>Southeast Florida</v>
          </cell>
          <cell r="F91">
            <v>3113919</v>
          </cell>
          <cell r="G91">
            <v>385000</v>
          </cell>
          <cell r="H91">
            <v>0.129</v>
          </cell>
          <cell r="I91" t="e">
            <v>#REF!</v>
          </cell>
          <cell r="J91" t="str">
            <v>Southeast Florida</v>
          </cell>
          <cell r="K91" t="str">
            <v>Yes</v>
          </cell>
        </row>
        <row r="92">
          <cell r="E92" t="str">
            <v>Southern Ohio</v>
          </cell>
          <cell r="F92">
            <v>4952288</v>
          </cell>
          <cell r="G92">
            <v>748624</v>
          </cell>
          <cell r="H92">
            <v>0.155</v>
          </cell>
          <cell r="I92" t="e">
            <v>#REF!</v>
          </cell>
          <cell r="J92" t="str">
            <v>Southern Ohio</v>
          </cell>
          <cell r="K92" t="str">
            <v>Yes</v>
          </cell>
        </row>
        <row r="93">
          <cell r="E93" t="str">
            <v>Southern Virginia</v>
          </cell>
          <cell r="F93">
            <v>2134040</v>
          </cell>
          <cell r="G93">
            <v>120000</v>
          </cell>
          <cell r="H93">
            <v>0.06</v>
          </cell>
          <cell r="I93" t="e">
            <v>#REF!</v>
          </cell>
          <cell r="J93" t="str">
            <v>Southern Virginia</v>
          </cell>
          <cell r="K93" t="str">
            <v>Yes</v>
          </cell>
        </row>
        <row r="94">
          <cell r="E94" t="str">
            <v>Southwest Florida</v>
          </cell>
          <cell r="F94">
            <v>2453075</v>
          </cell>
          <cell r="G94">
            <v>410000</v>
          </cell>
          <cell r="H94">
            <v>0.17599999999999999</v>
          </cell>
          <cell r="I94" t="e">
            <v>#REF!</v>
          </cell>
          <cell r="J94" t="str">
            <v>Southwest Florida</v>
          </cell>
          <cell r="K94" t="str">
            <v>No</v>
          </cell>
        </row>
        <row r="95">
          <cell r="E95" t="str">
            <v>Southwestern Virginia</v>
          </cell>
          <cell r="F95">
            <v>1089321</v>
          </cell>
          <cell r="G95">
            <v>135000</v>
          </cell>
          <cell r="H95">
            <v>0.13900000000000001</v>
          </cell>
          <cell r="I95" t="e">
            <v>#REF!</v>
          </cell>
          <cell r="J95" t="str">
            <v>Southwestern Virginia</v>
          </cell>
          <cell r="K95" t="str">
            <v>No</v>
          </cell>
        </row>
        <row r="96">
          <cell r="E96" t="str">
            <v>Spokane</v>
          </cell>
          <cell r="F96">
            <v>876635</v>
          </cell>
          <cell r="G96">
            <v>151327</v>
          </cell>
          <cell r="H96">
            <v>0.2</v>
          </cell>
          <cell r="I96" t="e">
            <v>#REF!</v>
          </cell>
          <cell r="J96" t="str">
            <v>Spokane</v>
          </cell>
          <cell r="K96" t="str">
            <v>No</v>
          </cell>
        </row>
        <row r="97">
          <cell r="E97" t="str">
            <v>Springfield</v>
          </cell>
          <cell r="F97">
            <v>723325</v>
          </cell>
          <cell r="G97">
            <v>0</v>
          </cell>
          <cell r="H97">
            <v>0</v>
          </cell>
          <cell r="I97">
            <v>0</v>
          </cell>
          <cell r="J97" t="str">
            <v>Springfield</v>
          </cell>
          <cell r="K97" t="str">
            <v>No</v>
          </cell>
        </row>
        <row r="98">
          <cell r="E98" t="str">
            <v>Taiwan</v>
          </cell>
          <cell r="F98">
            <v>0</v>
          </cell>
          <cell r="G98">
            <v>0</v>
          </cell>
          <cell r="H98" t="str">
            <v xml:space="preserve">n/a </v>
          </cell>
          <cell r="I98">
            <v>0</v>
          </cell>
          <cell r="J98" t="str">
            <v>Taiwan</v>
          </cell>
          <cell r="K98" t="str">
            <v>No</v>
          </cell>
        </row>
        <row r="99">
          <cell r="E99" t="str">
            <v>Tennessee</v>
          </cell>
          <cell r="F99">
            <v>1579800</v>
          </cell>
          <cell r="G99">
            <v>99806</v>
          </cell>
          <cell r="H99">
            <v>6.8000000000000005E-2</v>
          </cell>
          <cell r="I99" t="e">
            <v>#REF!</v>
          </cell>
          <cell r="J99" t="str">
            <v>Tennessee</v>
          </cell>
          <cell r="K99" t="str">
            <v>Yes</v>
          </cell>
        </row>
        <row r="100">
          <cell r="E100" t="str">
            <v>Texas</v>
          </cell>
          <cell r="F100">
            <v>8973046</v>
          </cell>
          <cell r="G100">
            <v>404638</v>
          </cell>
          <cell r="H100">
            <v>4.5999999999999999E-2</v>
          </cell>
          <cell r="I100" t="e">
            <v>#REF!</v>
          </cell>
          <cell r="J100" t="str">
            <v>Texas</v>
          </cell>
          <cell r="K100" t="str">
            <v>No</v>
          </cell>
        </row>
        <row r="101">
          <cell r="E101" t="str">
            <v>Upper South Carolina</v>
          </cell>
          <cell r="F101">
            <v>2224474</v>
          </cell>
          <cell r="G101">
            <v>419181</v>
          </cell>
          <cell r="H101">
            <v>0.19900000000000001</v>
          </cell>
          <cell r="I101" t="e">
            <v>#REF!</v>
          </cell>
          <cell r="J101" t="str">
            <v>Upper South Carolina</v>
          </cell>
          <cell r="K101" t="str">
            <v>No</v>
          </cell>
        </row>
        <row r="102">
          <cell r="E102" t="str">
            <v>Utah</v>
          </cell>
          <cell r="F102">
            <v>2819823</v>
          </cell>
          <cell r="G102">
            <v>539565</v>
          </cell>
          <cell r="H102">
            <v>0.2</v>
          </cell>
          <cell r="I102" t="e">
            <v>#REF!</v>
          </cell>
          <cell r="J102" t="str">
            <v>Utah</v>
          </cell>
          <cell r="K102" t="str">
            <v>Yes</v>
          </cell>
        </row>
        <row r="103">
          <cell r="E103" t="str">
            <v>Venezuela</v>
          </cell>
          <cell r="F103">
            <v>0</v>
          </cell>
          <cell r="G103">
            <v>0</v>
          </cell>
          <cell r="H103" t="str">
            <v xml:space="preserve">n/a </v>
          </cell>
          <cell r="I103">
            <v>0</v>
          </cell>
          <cell r="J103" t="str">
            <v>Venezuela</v>
          </cell>
          <cell r="K103" t="str">
            <v>No</v>
          </cell>
        </row>
        <row r="104">
          <cell r="E104" t="str">
            <v>Vermont</v>
          </cell>
          <cell r="F104">
            <v>1211313</v>
          </cell>
          <cell r="G104">
            <v>185525</v>
          </cell>
          <cell r="H104">
            <v>0.17</v>
          </cell>
          <cell r="I104" t="e">
            <v>#REF!</v>
          </cell>
          <cell r="J104" t="str">
            <v>Vermont</v>
          </cell>
          <cell r="K104" t="str">
            <v>No</v>
          </cell>
        </row>
        <row r="105">
          <cell r="E105" t="str">
            <v>Virgin Islands</v>
          </cell>
          <cell r="F105">
            <v>380987</v>
          </cell>
          <cell r="G105">
            <v>71013</v>
          </cell>
          <cell r="H105">
            <v>0.27200000000000002</v>
          </cell>
          <cell r="I105" t="e">
            <v>#REF!</v>
          </cell>
          <cell r="J105" t="str">
            <v>Virgin Islands</v>
          </cell>
          <cell r="K105" t="str">
            <v>Yes</v>
          </cell>
        </row>
        <row r="106">
          <cell r="E106" t="str">
            <v>Virginia</v>
          </cell>
          <cell r="F106">
            <v>5076128</v>
          </cell>
          <cell r="G106">
            <v>847874</v>
          </cell>
          <cell r="H106">
            <v>0.17100000000000001</v>
          </cell>
          <cell r="I106" t="e">
            <v>#REF!</v>
          </cell>
          <cell r="J106" t="str">
            <v>Virginia</v>
          </cell>
          <cell r="K106" t="str">
            <v>No</v>
          </cell>
        </row>
        <row r="107">
          <cell r="E107" t="str">
            <v>Washington</v>
          </cell>
          <cell r="F107">
            <v>3744725</v>
          </cell>
          <cell r="G107">
            <v>0</v>
          </cell>
          <cell r="H107">
            <v>0</v>
          </cell>
          <cell r="I107">
            <v>0</v>
          </cell>
          <cell r="J107" t="str">
            <v>Washington</v>
          </cell>
          <cell r="K107" t="str">
            <v>No</v>
          </cell>
        </row>
        <row r="108">
          <cell r="E108" t="str">
            <v>West Missouri</v>
          </cell>
          <cell r="F108">
            <v>1755352</v>
          </cell>
          <cell r="G108">
            <v>291135</v>
          </cell>
          <cell r="H108">
            <v>0.17799999999999999</v>
          </cell>
          <cell r="I108" t="e">
            <v>#REF!</v>
          </cell>
          <cell r="J108" t="str">
            <v>West Missouri</v>
          </cell>
          <cell r="K108" t="str">
            <v>Yes</v>
          </cell>
        </row>
        <row r="109">
          <cell r="E109" t="str">
            <v>West Tennessee</v>
          </cell>
          <cell r="F109">
            <v>1491275</v>
          </cell>
          <cell r="G109">
            <v>124505</v>
          </cell>
          <cell r="H109">
            <v>9.0999999999999998E-2</v>
          </cell>
          <cell r="I109" t="e">
            <v>#REF!</v>
          </cell>
          <cell r="J109" t="str">
            <v>West Tennessee</v>
          </cell>
          <cell r="K109" t="str">
            <v>No</v>
          </cell>
        </row>
        <row r="110">
          <cell r="E110" t="str">
            <v>West Texas</v>
          </cell>
          <cell r="F110">
            <v>4114978</v>
          </cell>
          <cell r="G110">
            <v>115773</v>
          </cell>
          <cell r="H110">
            <v>2.9000000000000001E-2</v>
          </cell>
          <cell r="I110" t="e">
            <v>#REF!</v>
          </cell>
          <cell r="J110" t="str">
            <v>West Texas</v>
          </cell>
          <cell r="K110" t="str">
            <v>No</v>
          </cell>
        </row>
        <row r="111">
          <cell r="E111" t="str">
            <v>West Virginia</v>
          </cell>
          <cell r="F111">
            <v>1907526</v>
          </cell>
          <cell r="G111">
            <v>155000</v>
          </cell>
          <cell r="H111">
            <v>8.6999999999999994E-2</v>
          </cell>
          <cell r="I111" t="e">
            <v>#REF!</v>
          </cell>
          <cell r="J111" t="str">
            <v>West Virginia</v>
          </cell>
          <cell r="K111" t="str">
            <v>Yes</v>
          </cell>
        </row>
        <row r="112">
          <cell r="E112" t="str">
            <v>Western Kansas</v>
          </cell>
          <cell r="F112">
            <v>328719</v>
          </cell>
          <cell r="G112">
            <v>10000</v>
          </cell>
          <cell r="H112">
            <v>4.8000000000000001E-2</v>
          </cell>
          <cell r="I112" t="e">
            <v>#REF!</v>
          </cell>
          <cell r="J112" t="str">
            <v>Western Kansas</v>
          </cell>
          <cell r="K112" t="str">
            <v>Yes</v>
          </cell>
        </row>
        <row r="113">
          <cell r="E113" t="str">
            <v>Western Louisiana</v>
          </cell>
          <cell r="F113">
            <v>1400508</v>
          </cell>
          <cell r="G113">
            <v>133070</v>
          </cell>
          <cell r="H113">
            <v>0.104</v>
          </cell>
          <cell r="I113" t="e">
            <v>#REF!</v>
          </cell>
          <cell r="J113" t="str">
            <v>Western Louisiana</v>
          </cell>
          <cell r="K113" t="str">
            <v>Yes</v>
          </cell>
        </row>
        <row r="114">
          <cell r="E114" t="str">
            <v>Western Massachusetts</v>
          </cell>
          <cell r="F114">
            <v>2012153</v>
          </cell>
          <cell r="G114">
            <v>340587</v>
          </cell>
          <cell r="H114">
            <v>0.18</v>
          </cell>
          <cell r="I114" t="e">
            <v>#REF!</v>
          </cell>
          <cell r="J114" t="str">
            <v>Western Massachusetts</v>
          </cell>
          <cell r="K114" t="str">
            <v>Yes</v>
          </cell>
        </row>
        <row r="115">
          <cell r="E115" t="str">
            <v>Western Michigan</v>
          </cell>
          <cell r="F115">
            <v>824516</v>
          </cell>
          <cell r="G115">
            <v>140904</v>
          </cell>
          <cell r="H115">
            <v>0.2</v>
          </cell>
          <cell r="I115" t="e">
            <v>#REF!</v>
          </cell>
          <cell r="J115" t="str">
            <v>Western Michigan</v>
          </cell>
          <cell r="K115" t="str">
            <v>Yes</v>
          </cell>
        </row>
        <row r="116">
          <cell r="E116" t="str">
            <v>Western New York</v>
          </cell>
          <cell r="F116">
            <v>746671</v>
          </cell>
          <cell r="G116">
            <v>0</v>
          </cell>
          <cell r="H116">
            <v>0</v>
          </cell>
          <cell r="I116">
            <v>0</v>
          </cell>
          <cell r="J116" t="str">
            <v>Western New York</v>
          </cell>
          <cell r="K116" t="str">
            <v>No</v>
          </cell>
        </row>
        <row r="117">
          <cell r="E117" t="str">
            <v>Western North Carolina</v>
          </cell>
          <cell r="F117">
            <v>1557034</v>
          </cell>
          <cell r="G117">
            <v>258666</v>
          </cell>
          <cell r="H117">
            <v>0.18</v>
          </cell>
          <cell r="I117" t="e">
            <v>#REF!</v>
          </cell>
          <cell r="J117" t="str">
            <v>Western North Carolina</v>
          </cell>
          <cell r="K117" t="str">
            <v>No</v>
          </cell>
        </row>
        <row r="118">
          <cell r="E118" t="str">
            <v>Wyoming</v>
          </cell>
          <cell r="F118">
            <v>1164530</v>
          </cell>
          <cell r="G118">
            <v>207906</v>
          </cell>
          <cell r="H118">
            <v>0.19900000000000001</v>
          </cell>
          <cell r="I118" t="e">
            <v>#REF!</v>
          </cell>
          <cell r="J118" t="str">
            <v>Wyoming</v>
          </cell>
          <cell r="K118" t="str">
            <v>Yes</v>
          </cell>
        </row>
      </sheetData>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plus use"/>
      <sheetName val="Sheet2"/>
      <sheetName val="Index"/>
      <sheetName val="SUMMARY"/>
      <sheetName val="Slide 2022"/>
      <sheetName val="Slide 2023 2024"/>
      <sheetName val="EVANGELISM"/>
      <sheetName val="REC &amp; JUST"/>
      <sheetName val="CREATION CARE"/>
      <sheetName val="PB Ministry"/>
      <sheetName val="MISSION WITHIN"/>
      <sheetName val="MISSION BEYOND"/>
      <sheetName val="Governance"/>
      <sheetName val="Fin Legal Oper"/>
      <sheetName val="Salary Summary 21 for 2022-2024"/>
      <sheetName val="Staff Details 2022-2024"/>
      <sheetName val="debt costs"/>
      <sheetName val="div"/>
      <sheetName val="rent 2022-2024"/>
      <sheetName val="rent sched 2022"/>
      <sheetName val="Salary Summary 20 for 2019-2021"/>
      <sheetName val="Staff Details Aug 20 for 19-21"/>
      <sheetName val="Salary Summary 19 for 2019-2021"/>
      <sheetName val="2019 actual"/>
      <sheetName val="Dioc alph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71">
          <cell r="AF171">
            <v>117922.32650128129</v>
          </cell>
          <cell r="AR171">
            <v>121582.34712688222</v>
          </cell>
        </row>
        <row r="173">
          <cell r="T173">
            <v>34608</v>
          </cell>
        </row>
        <row r="186">
          <cell r="J186">
            <v>444782.68663300003</v>
          </cell>
          <cell r="M186">
            <v>140267.27115861667</v>
          </cell>
          <cell r="T186">
            <v>703601.01915911958</v>
          </cell>
          <cell r="V186">
            <v>458126.16723199002</v>
          </cell>
          <cell r="Y186">
            <v>147280.6347165475</v>
          </cell>
          <cell r="AF186">
            <v>727075.59886996937</v>
          </cell>
          <cell r="AH186">
            <v>471869.95224894979</v>
          </cell>
          <cell r="AK186">
            <v>153171.8601052094</v>
          </cell>
          <cell r="AR186">
            <v>750628.67394694313</v>
          </cell>
        </row>
        <row r="187">
          <cell r="J187">
            <v>608047.540395997</v>
          </cell>
          <cell r="M187">
            <v>166333.44000000003</v>
          </cell>
          <cell r="T187">
            <v>905902.44223633094</v>
          </cell>
          <cell r="V187">
            <v>626288.96660787694</v>
          </cell>
          <cell r="Y187">
            <v>174650.11200000002</v>
          </cell>
          <cell r="AF187">
            <v>935800.71228255995</v>
          </cell>
          <cell r="AH187">
            <v>645077.63560611324</v>
          </cell>
          <cell r="AK187">
            <v>181636.11648000003</v>
          </cell>
          <cell r="AR187">
            <v>965951.43357409746</v>
          </cell>
        </row>
        <row r="188">
          <cell r="J188">
            <v>423454.47941400006</v>
          </cell>
          <cell r="M188">
            <v>48863.360000000001</v>
          </cell>
          <cell r="T188">
            <v>582546.08968040161</v>
          </cell>
          <cell r="V188">
            <v>436158.11379642005</v>
          </cell>
          <cell r="Y188">
            <v>51306.528000000006</v>
          </cell>
          <cell r="AF188">
            <v>601601.61470822652</v>
          </cell>
          <cell r="AH188">
            <v>449242.85721031268</v>
          </cell>
          <cell r="AK188">
            <v>53358.789120000001</v>
          </cell>
          <cell r="AR188">
            <v>620440.53260095289</v>
          </cell>
        </row>
        <row r="189">
          <cell r="J189">
            <v>327961.10025599995</v>
          </cell>
          <cell r="M189">
            <v>126461.42080000001</v>
          </cell>
          <cell r="T189">
            <v>533172.35597359284</v>
          </cell>
          <cell r="V189">
            <v>337799.93326367997</v>
          </cell>
          <cell r="Y189">
            <v>130706.82400000001</v>
          </cell>
          <cell r="AF189">
            <v>555432.77964907733</v>
          </cell>
          <cell r="AH189">
            <v>347933.93126159039</v>
          </cell>
          <cell r="AK189">
            <v>135935.09696000002</v>
          </cell>
          <cell r="AR189">
            <v>573613.26106630836</v>
          </cell>
        </row>
        <row r="190">
          <cell r="J190">
            <v>1603441.9331358001</v>
          </cell>
          <cell r="M190">
            <v>406340.48</v>
          </cell>
          <cell r="T190">
            <v>2361939.9344935548</v>
          </cell>
          <cell r="V190">
            <v>1651545.1911298742</v>
          </cell>
          <cell r="Y190">
            <v>423539.21600000001</v>
          </cell>
          <cell r="AF190">
            <v>2434475.1915977066</v>
          </cell>
          <cell r="AH190">
            <v>1701091.5468637703</v>
          </cell>
          <cell r="AK190">
            <v>440480.7846400002</v>
          </cell>
          <cell r="AR190">
            <v>2512275.3078812552</v>
          </cell>
        </row>
        <row r="191">
          <cell r="J191">
            <v>666737.07312984008</v>
          </cell>
          <cell r="M191">
            <v>249873.97760000001</v>
          </cell>
          <cell r="T191">
            <v>1065582.776997911</v>
          </cell>
          <cell r="V191">
            <v>686739.18532373523</v>
          </cell>
          <cell r="Y191">
            <v>258967.40000000002</v>
          </cell>
          <cell r="AF191">
            <v>1098461.6803990018</v>
          </cell>
          <cell r="AH191">
            <v>707341.36088344723</v>
          </cell>
          <cell r="AK191">
            <v>269326.09600000008</v>
          </cell>
          <cell r="AR191">
            <v>1134378.9230452438</v>
          </cell>
        </row>
        <row r="192">
          <cell r="J192">
            <v>69558.990000000005</v>
          </cell>
          <cell r="M192">
            <v>7280</v>
          </cell>
          <cell r="T192">
            <v>91872.727843400018</v>
          </cell>
          <cell r="V192">
            <v>71645.75970000001</v>
          </cell>
          <cell r="Y192">
            <v>6825</v>
          </cell>
          <cell r="AF192">
            <v>93643.963318350026</v>
          </cell>
          <cell r="AH192">
            <v>73795.132491000011</v>
          </cell>
          <cell r="AK192">
            <v>7098</v>
          </cell>
          <cell r="AR192">
            <v>96564.116518593655</v>
          </cell>
        </row>
        <row r="193">
          <cell r="J193">
            <v>655642.14104000002</v>
          </cell>
          <cell r="M193">
            <v>112577.92</v>
          </cell>
          <cell r="T193">
            <v>914163.96481252159</v>
          </cell>
          <cell r="V193">
            <v>675311.40527120011</v>
          </cell>
          <cell r="Y193">
            <v>118206.81600000002</v>
          </cell>
          <cell r="AF193">
            <v>940549.85729292291</v>
          </cell>
          <cell r="AH193">
            <v>695570.74742933607</v>
          </cell>
          <cell r="AK193">
            <v>122935.08864</v>
          </cell>
          <cell r="AR193">
            <v>970338.25393975689</v>
          </cell>
        </row>
        <row r="194">
          <cell r="J194">
            <v>0</v>
          </cell>
          <cell r="M194">
            <v>0</v>
          </cell>
          <cell r="T194">
            <v>0</v>
          </cell>
          <cell r="V194">
            <v>0</v>
          </cell>
          <cell r="Y194">
            <v>0</v>
          </cell>
          <cell r="AF194">
            <v>0</v>
          </cell>
          <cell r="AH194">
            <v>0</v>
          </cell>
          <cell r="AK194">
            <v>0</v>
          </cell>
          <cell r="AR194">
            <v>0</v>
          </cell>
        </row>
        <row r="195">
          <cell r="J195">
            <v>278476.44940580003</v>
          </cell>
          <cell r="M195">
            <v>68315.520000000004</v>
          </cell>
          <cell r="T195">
            <v>417988.55682156119</v>
          </cell>
          <cell r="V195">
            <v>286830.74288797402</v>
          </cell>
          <cell r="Y195">
            <v>71731.296000000002</v>
          </cell>
          <cell r="AF195">
            <v>432207.46647640079</v>
          </cell>
          <cell r="AH195">
            <v>295435.66517461324</v>
          </cell>
          <cell r="AK195">
            <v>74600.547840000014</v>
          </cell>
          <cell r="AR195">
            <v>446063.4743362256</v>
          </cell>
        </row>
        <row r="196">
          <cell r="J196">
            <v>876966.15988599998</v>
          </cell>
          <cell r="M196">
            <v>230404.42879999999</v>
          </cell>
          <cell r="T196">
            <v>1304494.2215191862</v>
          </cell>
          <cell r="V196">
            <v>903275.14468258014</v>
          </cell>
          <cell r="Y196">
            <v>224536</v>
          </cell>
          <cell r="AF196">
            <v>1329967.2565908032</v>
          </cell>
          <cell r="AH196">
            <v>930373.39902305766</v>
          </cell>
          <cell r="AK196">
            <v>233517.43999999994</v>
          </cell>
          <cell r="AR196">
            <v>1372623.977271785</v>
          </cell>
        </row>
        <row r="197">
          <cell r="J197">
            <v>0</v>
          </cell>
          <cell r="M197">
            <v>0</v>
          </cell>
          <cell r="T197">
            <v>0</v>
          </cell>
          <cell r="V197">
            <v>0</v>
          </cell>
          <cell r="Y197">
            <v>0</v>
          </cell>
          <cell r="AF197">
            <v>0</v>
          </cell>
          <cell r="AH197">
            <v>0</v>
          </cell>
          <cell r="AK197">
            <v>0</v>
          </cell>
          <cell r="AR197">
            <v>0</v>
          </cell>
        </row>
        <row r="198">
          <cell r="J198">
            <v>702206.93044200004</v>
          </cell>
          <cell r="M198">
            <v>177923.20000000001</v>
          </cell>
          <cell r="T198">
            <v>1076159.0112307267</v>
          </cell>
          <cell r="V198">
            <v>723273.13835526002</v>
          </cell>
          <cell r="Y198">
            <v>186819.36000000002</v>
          </cell>
          <cell r="AF198">
            <v>1112606.7286982294</v>
          </cell>
          <cell r="AH198">
            <v>744971.33250591788</v>
          </cell>
          <cell r="AK198">
            <v>194292.13439999998</v>
          </cell>
          <cell r="AR198">
            <v>1148301.6819718804</v>
          </cell>
        </row>
        <row r="199">
          <cell r="J199">
            <v>114336.28764530001</v>
          </cell>
          <cell r="M199">
            <v>22131.200000000001</v>
          </cell>
          <cell r="T199">
            <v>162507.7505727486</v>
          </cell>
          <cell r="V199">
            <v>117766.37627465901</v>
          </cell>
          <cell r="Y199">
            <v>23237.760000000002</v>
          </cell>
          <cell r="AF199">
            <v>167709.10464396235</v>
          </cell>
          <cell r="AH199">
            <v>121299.36756289878</v>
          </cell>
          <cell r="AK199">
            <v>24167.270400000001</v>
          </cell>
          <cell r="AR199">
            <v>173937.94290262894</v>
          </cell>
        </row>
        <row r="200">
          <cell r="J200">
            <v>341126.18873500009</v>
          </cell>
          <cell r="M200">
            <v>83166.720000000001</v>
          </cell>
          <cell r="T200">
            <v>507553.64546390733</v>
          </cell>
          <cell r="V200">
            <v>351359.9743970501</v>
          </cell>
          <cell r="Y200">
            <v>84317.288</v>
          </cell>
          <cell r="AF200">
            <v>521880.09556135634</v>
          </cell>
          <cell r="AH200">
            <v>361900.77362896153</v>
          </cell>
          <cell r="AK200">
            <v>87689.979520000008</v>
          </cell>
          <cell r="AR200">
            <v>538614.21589615499</v>
          </cell>
        </row>
        <row r="201">
          <cell r="J201">
            <v>431802.01827</v>
          </cell>
          <cell r="M201">
            <v>140533.08000000002</v>
          </cell>
          <cell r="T201">
            <v>673843.08171818708</v>
          </cell>
          <cell r="V201">
            <v>444756.07881810004</v>
          </cell>
          <cell r="Y201">
            <v>147559.73400000003</v>
          </cell>
          <cell r="AF201">
            <v>696259.31886180909</v>
          </cell>
          <cell r="AH201">
            <v>458098.76118264307</v>
          </cell>
          <cell r="AK201">
            <v>153462.12336000003</v>
          </cell>
          <cell r="AR201">
            <v>718903.35082616226</v>
          </cell>
        </row>
        <row r="202">
          <cell r="J202">
            <v>64917.206415880006</v>
          </cell>
          <cell r="M202">
            <v>26732.16</v>
          </cell>
          <cell r="T202">
            <v>105489.18941121941</v>
          </cell>
          <cell r="V202">
            <v>66864.722608356402</v>
          </cell>
          <cell r="Y202">
            <v>28068.768</v>
          </cell>
          <cell r="AF202">
            <v>109124.19110437365</v>
          </cell>
          <cell r="AH202">
            <v>68870.664286607091</v>
          </cell>
          <cell r="AK202">
            <v>29191.51872</v>
          </cell>
          <cell r="AR202">
            <v>112717.44622236266</v>
          </cell>
        </row>
        <row r="203">
          <cell r="J203">
            <v>1253806.1349910002</v>
          </cell>
          <cell r="M203">
            <v>256447.98017279999</v>
          </cell>
          <cell r="T203">
            <v>1814507.7470164283</v>
          </cell>
          <cell r="V203">
            <v>1291420.3190407301</v>
          </cell>
          <cell r="Y203">
            <v>269270.37918143999</v>
          </cell>
          <cell r="AF203">
            <v>1874436.4418514762</v>
          </cell>
          <cell r="AH203">
            <v>1330162.9286119519</v>
          </cell>
          <cell r="AK203">
            <v>280041.19434869767</v>
          </cell>
          <cell r="AR203">
            <v>1933290.5657568465</v>
          </cell>
        </row>
        <row r="204">
          <cell r="J204">
            <v>331345.41666666669</v>
          </cell>
          <cell r="M204">
            <v>84711.026836800011</v>
          </cell>
          <cell r="T204">
            <v>466988.60264513327</v>
          </cell>
          <cell r="V204">
            <v>451309.95</v>
          </cell>
          <cell r="Y204">
            <v>88946.578178640004</v>
          </cell>
          <cell r="AF204">
            <v>650562.74517713999</v>
          </cell>
          <cell r="AH204">
            <v>464849.24849999999</v>
          </cell>
          <cell r="AK204">
            <v>92504.441305785615</v>
          </cell>
          <cell r="AR204">
            <v>674449.09878797538</v>
          </cell>
        </row>
        <row r="205">
          <cell r="J205">
            <v>384962.32402862003</v>
          </cell>
          <cell r="M205">
            <v>95047.680000000008</v>
          </cell>
          <cell r="T205">
            <v>565194.38236024685</v>
          </cell>
          <cell r="V205">
            <v>396511.19374947867</v>
          </cell>
          <cell r="Y205">
            <v>99800.063999999998</v>
          </cell>
          <cell r="AF205">
            <v>583674.63832380471</v>
          </cell>
          <cell r="AH205">
            <v>408406.52956196299</v>
          </cell>
          <cell r="AK205">
            <v>103792.06656000001</v>
          </cell>
          <cell r="AR205">
            <v>602418.08647598582</v>
          </cell>
        </row>
        <row r="206">
          <cell r="J206">
            <v>665617.04945299996</v>
          </cell>
          <cell r="M206">
            <v>151361.76640000002</v>
          </cell>
          <cell r="T206">
            <v>964945.42956402083</v>
          </cell>
          <cell r="V206">
            <v>685585.56093658996</v>
          </cell>
          <cell r="Y206">
            <v>146745.53599999999</v>
          </cell>
          <cell r="AF206">
            <v>984065.30283262965</v>
          </cell>
          <cell r="AH206">
            <v>706153.12776468787</v>
          </cell>
          <cell r="AK206">
            <v>152615.35743999999</v>
          </cell>
          <cell r="AR206">
            <v>1015441.03245471</v>
          </cell>
        </row>
        <row r="207">
          <cell r="J207">
            <v>891279.88949798001</v>
          </cell>
          <cell r="M207">
            <v>98017.919999999998</v>
          </cell>
          <cell r="T207">
            <v>1179810.3312978335</v>
          </cell>
          <cell r="V207">
            <v>918018.2861829194</v>
          </cell>
          <cell r="Y207">
            <v>102918.81600000002</v>
          </cell>
          <cell r="AF207">
            <v>1214712.0818905591</v>
          </cell>
          <cell r="AH207">
            <v>945558.83476840716</v>
          </cell>
          <cell r="AK207">
            <v>107035.56864000001</v>
          </cell>
          <cell r="AR207">
            <v>1252837.6068217002</v>
          </cell>
        </row>
        <row r="208">
          <cell r="J208">
            <v>654826.27711299993</v>
          </cell>
          <cell r="M208">
            <v>468773.76</v>
          </cell>
          <cell r="T208">
            <v>1322089.656606118</v>
          </cell>
          <cell r="V208">
            <v>674471.06542639015</v>
          </cell>
          <cell r="Y208">
            <v>492212.44800000009</v>
          </cell>
          <cell r="AF208">
            <v>1320968.0854528472</v>
          </cell>
          <cell r="AH208">
            <v>694705.1973891817</v>
          </cell>
          <cell r="AK208">
            <v>511900.94592000003</v>
          </cell>
          <cell r="AR208">
            <v>1365938.0213887789</v>
          </cell>
        </row>
        <row r="209">
          <cell r="J209">
            <v>479711.40851815057</v>
          </cell>
          <cell r="M209">
            <v>109979.944256</v>
          </cell>
          <cell r="T209">
            <v>691336.62789510423</v>
          </cell>
          <cell r="V209">
            <v>494102.75077369518</v>
          </cell>
          <cell r="Y209">
            <v>115478.94146880004</v>
          </cell>
          <cell r="AF209">
            <v>713819.8075264896</v>
          </cell>
          <cell r="AH209">
            <v>508925.83329690597</v>
          </cell>
          <cell r="AK209">
            <v>120098.09912755201</v>
          </cell>
          <cell r="AR209">
            <v>736694.97480027773</v>
          </cell>
        </row>
        <row r="210">
          <cell r="J210">
            <v>247994.63304994002</v>
          </cell>
          <cell r="M210">
            <v>56434.559999999998</v>
          </cell>
          <cell r="T210">
            <v>369787.53785245673</v>
          </cell>
          <cell r="V210">
            <v>255434.47204143822</v>
          </cell>
          <cell r="Y210">
            <v>59256.288000000008</v>
          </cell>
          <cell r="AF210">
            <v>382200.39629402646</v>
          </cell>
          <cell r="AH210">
            <v>263097.50620268134</v>
          </cell>
          <cell r="AK210">
            <v>61626.539520000006</v>
          </cell>
          <cell r="AR210">
            <v>394431.92516756128</v>
          </cell>
        </row>
        <row r="211">
          <cell r="J211">
            <v>1394098.028136</v>
          </cell>
          <cell r="M211">
            <v>215931.04</v>
          </cell>
          <cell r="T211">
            <v>1991491.9793264668</v>
          </cell>
          <cell r="V211">
            <v>1435920.96898008</v>
          </cell>
          <cell r="Y211">
            <v>226727.59200000003</v>
          </cell>
          <cell r="AF211">
            <v>2056612.8805877354</v>
          </cell>
          <cell r="AH211">
            <v>1478998.5980494826</v>
          </cell>
          <cell r="AK211">
            <v>235796.69568000003</v>
          </cell>
          <cell r="AR211">
            <v>2121500.1604598854</v>
          </cell>
        </row>
        <row r="212">
          <cell r="J212">
            <v>298611.09492685</v>
          </cell>
          <cell r="M212">
            <v>71285.760000000009</v>
          </cell>
          <cell r="T212">
            <v>454432.39463108458</v>
          </cell>
          <cell r="V212">
            <v>307569.42777465552</v>
          </cell>
          <cell r="Y212">
            <v>73179.288</v>
          </cell>
          <cell r="AF212">
            <v>467993.62986928353</v>
          </cell>
          <cell r="AH212">
            <v>316796.51060789521</v>
          </cell>
          <cell r="AK212">
            <v>76106.459520000004</v>
          </cell>
          <cell r="AR212">
            <v>482965.49699342408</v>
          </cell>
        </row>
        <row r="213">
          <cell r="J213">
            <v>188627.93512800001</v>
          </cell>
          <cell r="M213">
            <v>29411.200000000001</v>
          </cell>
          <cell r="T213">
            <v>261130.01152022142</v>
          </cell>
          <cell r="V213">
            <v>194286.77318183999</v>
          </cell>
          <cell r="Y213">
            <v>30881.760000000002</v>
          </cell>
          <cell r="AF213">
            <v>268700.19702063838</v>
          </cell>
          <cell r="AH213">
            <v>200115.37637729524</v>
          </cell>
          <cell r="AK213">
            <v>32117.030400000003</v>
          </cell>
          <cell r="AR213">
            <v>277170.04801730427</v>
          </cell>
        </row>
        <row r="214">
          <cell r="J214">
            <v>167248.72967556003</v>
          </cell>
          <cell r="M214">
            <v>68315.520000000004</v>
          </cell>
          <cell r="T214">
            <v>271529.61833933793</v>
          </cell>
          <cell r="V214">
            <v>172266.19156582683</v>
          </cell>
          <cell r="Y214">
            <v>71731.296000000002</v>
          </cell>
          <cell r="AF214">
            <v>280149.59729536809</v>
          </cell>
          <cell r="AH214">
            <v>177434.17731280165</v>
          </cell>
          <cell r="AK214">
            <v>74600.547840000014</v>
          </cell>
          <cell r="AR214">
            <v>289379.24814898684</v>
          </cell>
        </row>
        <row r="215">
          <cell r="J215">
            <v>0</v>
          </cell>
          <cell r="M215">
            <v>0</v>
          </cell>
          <cell r="T215">
            <v>0</v>
          </cell>
          <cell r="V215">
            <v>0</v>
          </cell>
          <cell r="Y215">
            <v>0</v>
          </cell>
          <cell r="AF215">
            <v>0</v>
          </cell>
          <cell r="AH215">
            <v>0</v>
          </cell>
          <cell r="AK215">
            <v>0</v>
          </cell>
          <cell r="AR215">
            <v>0</v>
          </cell>
        </row>
        <row r="216">
          <cell r="J216">
            <v>200237.61144206004</v>
          </cell>
          <cell r="M216">
            <v>29702.400000000001</v>
          </cell>
          <cell r="T216">
            <v>281801.93583153584</v>
          </cell>
          <cell r="V216">
            <v>206244.73978532181</v>
          </cell>
          <cell r="Y216">
            <v>31187.520000000004</v>
          </cell>
          <cell r="AF216">
            <v>290727.10222905921</v>
          </cell>
          <cell r="AH216">
            <v>212432.0819788815</v>
          </cell>
          <cell r="AK216">
            <v>32435.020800000006</v>
          </cell>
          <cell r="AR216">
            <v>299883.67867823498</v>
          </cell>
        </row>
        <row r="217">
          <cell r="J217">
            <v>981099.22348077514</v>
          </cell>
          <cell r="M217">
            <v>197375.36000000002</v>
          </cell>
          <cell r="T217">
            <v>1389721.0564475746</v>
          </cell>
          <cell r="V217">
            <v>1010532.2001851985</v>
          </cell>
          <cell r="Y217">
            <v>207244.12800000003</v>
          </cell>
          <cell r="AF217">
            <v>1432139.054470778</v>
          </cell>
          <cell r="AH217">
            <v>1040848.1661907544</v>
          </cell>
          <cell r="AK217">
            <v>215533.89312000002</v>
          </cell>
          <cell r="AR217">
            <v>1477518.3544952064</v>
          </cell>
        </row>
        <row r="218">
          <cell r="J218">
            <v>156509.06650000002</v>
          </cell>
          <cell r="M218">
            <v>56434.559999999998</v>
          </cell>
          <cell r="T218">
            <v>257576.95495209502</v>
          </cell>
          <cell r="V218">
            <v>161204.338495</v>
          </cell>
          <cell r="Y218">
            <v>59256.288000000008</v>
          </cell>
          <cell r="AF218">
            <v>266096.44247074745</v>
          </cell>
          <cell r="AH218">
            <v>166040.46864985002</v>
          </cell>
          <cell r="AK218">
            <v>61626.539520000006</v>
          </cell>
          <cell r="AR218">
            <v>274771.0893810438</v>
          </cell>
        </row>
        <row r="233">
          <cell r="T233">
            <v>7777.739458616401</v>
          </cell>
          <cell r="AF233">
            <v>43042.333181209113</v>
          </cell>
          <cell r="AR233">
            <v>44405.51550548357</v>
          </cell>
        </row>
      </sheetData>
      <sheetData sheetId="16"/>
      <sheetData sheetId="17"/>
      <sheetData sheetId="18">
        <row r="21">
          <cell r="H21">
            <v>3107884.9874666668</v>
          </cell>
          <cell r="P21">
            <v>3378517.4295000001</v>
          </cell>
          <cell r="U21">
            <v>3629618.4909666665</v>
          </cell>
        </row>
      </sheetData>
      <sheetData sheetId="19"/>
      <sheetData sheetId="20">
        <row r="8">
          <cell r="P8">
            <v>791146.97266829549</v>
          </cell>
        </row>
        <row r="9">
          <cell r="P9">
            <v>875986.81864505936</v>
          </cell>
        </row>
        <row r="10">
          <cell r="P10">
            <v>564176.04264168791</v>
          </cell>
        </row>
        <row r="12">
          <cell r="P12">
            <v>2311490.0311741536</v>
          </cell>
        </row>
        <row r="13">
          <cell r="P13">
            <v>1030788.0710999926</v>
          </cell>
        </row>
        <row r="14">
          <cell r="P14">
            <v>81771.83157200001</v>
          </cell>
        </row>
        <row r="15">
          <cell r="P15">
            <v>855916.64951740007</v>
          </cell>
        </row>
        <row r="17">
          <cell r="P17">
            <v>405298.44953130541</v>
          </cell>
        </row>
        <row r="20">
          <cell r="P20">
            <v>1045016.161599328</v>
          </cell>
        </row>
        <row r="21">
          <cell r="P21">
            <v>407921.71190234425</v>
          </cell>
        </row>
        <row r="22">
          <cell r="P22">
            <v>493861.24867970403</v>
          </cell>
        </row>
        <row r="23">
          <cell r="P23">
            <v>598653.19053777412</v>
          </cell>
        </row>
        <row r="24">
          <cell r="P24">
            <v>102540.09814681495</v>
          </cell>
        </row>
        <row r="25">
          <cell r="P25">
            <v>1785691.975278591</v>
          </cell>
        </row>
        <row r="26">
          <cell r="P26">
            <v>339160.03291729913</v>
          </cell>
        </row>
        <row r="27">
          <cell r="P27">
            <v>546721.86633442761</v>
          </cell>
        </row>
        <row r="28">
          <cell r="P28">
            <v>919862.50932166597</v>
          </cell>
        </row>
        <row r="29">
          <cell r="P29">
            <v>543116.26675601676</v>
          </cell>
        </row>
        <row r="31">
          <cell r="P31">
            <v>656426.9206765946</v>
          </cell>
        </row>
        <row r="32">
          <cell r="P32">
            <v>359664.14136975957</v>
          </cell>
        </row>
        <row r="34">
          <cell r="P34">
            <v>441951.82943613187</v>
          </cell>
        </row>
        <row r="35">
          <cell r="P35">
            <v>270674.34031621012</v>
          </cell>
        </row>
        <row r="36">
          <cell r="P36">
            <v>263236.94070106337</v>
          </cell>
        </row>
        <row r="38">
          <cell r="P38">
            <v>273221.23073301889</v>
          </cell>
        </row>
        <row r="39">
          <cell r="P39">
            <v>1338626.4568656427</v>
          </cell>
        </row>
        <row r="40">
          <cell r="P40">
            <v>259232.15997409716</v>
          </cell>
        </row>
      </sheetData>
      <sheetData sheetId="21"/>
      <sheetData sheetId="22">
        <row r="8">
          <cell r="L8">
            <v>768124.60437744251</v>
          </cell>
        </row>
        <row r="9">
          <cell r="L9">
            <v>851495.48326504871</v>
          </cell>
        </row>
        <row r="10">
          <cell r="L10">
            <v>547650.116588832</v>
          </cell>
        </row>
        <row r="11">
          <cell r="L11">
            <v>519505.56026476802</v>
          </cell>
        </row>
        <row r="12">
          <cell r="L12">
            <v>2275217.7956682723</v>
          </cell>
        </row>
        <row r="13">
          <cell r="L13">
            <v>983653.32868384407</v>
          </cell>
        </row>
        <row r="14">
          <cell r="L14">
            <v>98731.208399999989</v>
          </cell>
        </row>
        <row r="15">
          <cell r="L15">
            <v>931636.42</v>
          </cell>
        </row>
        <row r="20">
          <cell r="L20">
            <v>1017684.3625295191</v>
          </cell>
        </row>
        <row r="21">
          <cell r="L21">
            <v>397838.330175512</v>
          </cell>
        </row>
        <row r="22">
          <cell r="L22">
            <v>434340.00453066797</v>
          </cell>
        </row>
        <row r="23">
          <cell r="L23">
            <v>551894.62036215398</v>
          </cell>
        </row>
        <row r="24">
          <cell r="L24">
            <v>100278.00557943201</v>
          </cell>
        </row>
        <row r="25">
          <cell r="L25">
            <v>1739602.9521984227</v>
          </cell>
        </row>
        <row r="26">
          <cell r="L26">
            <v>119447.64387827001</v>
          </cell>
        </row>
        <row r="27">
          <cell r="L27">
            <v>532793.71954798803</v>
          </cell>
        </row>
        <row r="28">
          <cell r="L28">
            <v>882593.86790141207</v>
          </cell>
        </row>
        <row r="29">
          <cell r="L29">
            <v>526641.41587962804</v>
          </cell>
        </row>
        <row r="31">
          <cell r="L31">
            <v>633314.5782314688</v>
          </cell>
        </row>
        <row r="32">
          <cell r="L32">
            <v>350078.41435521818</v>
          </cell>
        </row>
        <row r="33">
          <cell r="L33">
            <v>1816343.6214884073</v>
          </cell>
        </row>
        <row r="34">
          <cell r="L34">
            <v>478180.429670727</v>
          </cell>
        </row>
        <row r="35">
          <cell r="L35">
            <v>263669.04143536004</v>
          </cell>
        </row>
        <row r="36">
          <cell r="L36">
            <v>257950.09814213603</v>
          </cell>
        </row>
        <row r="38">
          <cell r="L38">
            <v>265822.77897356398</v>
          </cell>
        </row>
        <row r="39">
          <cell r="L39">
            <v>1300044.3315785052</v>
          </cell>
        </row>
        <row r="40">
          <cell r="L40">
            <v>253840.41099001199</v>
          </cell>
        </row>
      </sheetData>
      <sheetData sheetId="23"/>
      <sheetData sheetId="2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Sheet1"/>
      <sheetName val="Slides"/>
      <sheetName val="EVANGELISM"/>
      <sheetName val="REC &amp; JUST"/>
      <sheetName val="CREATION CARE"/>
      <sheetName val="PB MINSTRY"/>
      <sheetName val="MISSION WITHIN"/>
      <sheetName val="MISSION BEYOND"/>
      <sheetName val="Governance"/>
      <sheetName val="Fin Legal Oper"/>
      <sheetName val="Salary Summary 2019-2021"/>
      <sheetName val="Staff Details Aug 19 for 19-21"/>
      <sheetName val="Rent Debt"/>
      <sheetName val="15% 15% 15% 140K  0.5% pa"/>
      <sheetName val="Info for Pie Charts 19-21"/>
      <sheetName val="Salary Summary GC Adopted"/>
      <sheetName val="Dividends 2017-2021 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22">
          <cell r="AC122">
            <v>19769.931999999997</v>
          </cell>
        </row>
      </sheetData>
      <sheetData sheetId="14">
        <row r="4">
          <cell r="P4">
            <v>346212</v>
          </cell>
        </row>
        <row r="38">
          <cell r="O38">
            <v>2192381.1159999999</v>
          </cell>
        </row>
      </sheetData>
      <sheetData sheetId="15"/>
      <sheetData sheetId="16"/>
      <sheetData sheetId="17">
        <row r="6">
          <cell r="Y6">
            <v>3095748.7296600337</v>
          </cell>
        </row>
        <row r="7">
          <cell r="Y7">
            <v>1640471.5942966545</v>
          </cell>
        </row>
        <row r="8">
          <cell r="Y8">
            <v>2338995.028037495</v>
          </cell>
        </row>
        <row r="9">
          <cell r="Y9">
            <v>2163344.8693473814</v>
          </cell>
        </row>
        <row r="11">
          <cell r="Y11">
            <v>2056086.1062745848</v>
          </cell>
        </row>
        <row r="12">
          <cell r="Y12">
            <v>3031034.7743127919</v>
          </cell>
        </row>
        <row r="13">
          <cell r="Y13">
            <v>3719695.3992224783</v>
          </cell>
        </row>
        <row r="15">
          <cell r="Y15">
            <v>756083.81615320384</v>
          </cell>
        </row>
        <row r="18">
          <cell r="Y18">
            <v>2256727.1986439303</v>
          </cell>
        </row>
        <row r="19">
          <cell r="Y19">
            <v>1049260.6503875111</v>
          </cell>
        </row>
        <row r="20">
          <cell r="Y20">
            <v>1055888.9583546571</v>
          </cell>
        </row>
        <row r="21">
          <cell r="Y21">
            <v>1393501.8011782919</v>
          </cell>
        </row>
        <row r="22">
          <cell r="Y22">
            <v>222178.63640063885</v>
          </cell>
        </row>
        <row r="23">
          <cell r="Y23">
            <v>3253686.3596491003</v>
          </cell>
        </row>
        <row r="24">
          <cell r="Y24">
            <v>303480.98336331022</v>
          </cell>
        </row>
        <row r="25">
          <cell r="Y25">
            <v>1313154.4757400374</v>
          </cell>
        </row>
        <row r="26">
          <cell r="Y26">
            <v>2230583.5318821394</v>
          </cell>
        </row>
        <row r="27">
          <cell r="Y27">
            <v>864976.61500796</v>
          </cell>
        </row>
        <row r="28">
          <cell r="Y28">
            <v>3452871.390151999</v>
          </cell>
        </row>
        <row r="31">
          <cell r="Y31">
            <v>712088.5979476379</v>
          </cell>
        </row>
        <row r="33">
          <cell r="Y33">
            <v>3381318.8398741502</v>
          </cell>
        </row>
        <row r="34">
          <cell r="Y34">
            <v>693189.62135474221</v>
          </cell>
        </row>
      </sheetData>
      <sheetData sheetId="18">
        <row r="14">
          <cell r="O14">
            <v>108000</v>
          </cell>
        </row>
        <row r="15">
          <cell r="O15">
            <v>33000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SUMMARY"/>
      <sheetName val="Slides"/>
      <sheetName val="EVANGELISM"/>
      <sheetName val="REC &amp; JUST"/>
      <sheetName val="CREATION CARE"/>
      <sheetName val="PB MINSTRY"/>
      <sheetName val="MISSION WITHIN"/>
      <sheetName val="MISSION BEYOND"/>
      <sheetName val="Governance"/>
      <sheetName val="Fin Legal Oper"/>
      <sheetName val="Salary Summary 21 for 2022-2024"/>
      <sheetName val="Staff Details 2022-2024"/>
      <sheetName val="debt costs"/>
      <sheetName val="div"/>
      <sheetName val="Rent schedule"/>
      <sheetName val="Salary Summary 20 for 2019-2021"/>
      <sheetName val="Staff Details Aug 20 for 19-21"/>
      <sheetName val="Salary Summary 19 for 2019-2021"/>
      <sheetName val="2019 actual"/>
      <sheetName val="Sheet2"/>
    </sheetNames>
    <sheetDataSet>
      <sheetData sheetId="0"/>
      <sheetData sheetId="1"/>
      <sheetData sheetId="2"/>
      <sheetData sheetId="3">
        <row r="41">
          <cell r="A41">
            <v>65</v>
          </cell>
        </row>
      </sheetData>
      <sheetData sheetId="4"/>
      <sheetData sheetId="5"/>
      <sheetData sheetId="6"/>
      <sheetData sheetId="7"/>
      <sheetData sheetId="8"/>
      <sheetData sheetId="9"/>
      <sheetData sheetId="10"/>
      <sheetData sheetId="11">
        <row r="29">
          <cell r="T29">
            <v>1075232.17007417</v>
          </cell>
        </row>
        <row r="35">
          <cell r="P35">
            <v>292344.4496526384</v>
          </cell>
          <cell r="T35">
            <v>301760.07075458427</v>
          </cell>
        </row>
      </sheetData>
      <sheetData sheetId="12"/>
      <sheetData sheetId="13"/>
      <sheetData sheetId="14"/>
      <sheetData sheetId="15"/>
      <sheetData sheetId="16"/>
      <sheetData sheetId="17"/>
      <sheetData sheetId="18"/>
      <sheetData sheetId="19"/>
      <sheetData sheetId="2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EVANGELISM"/>
      <sheetName val="REC &amp; JUST"/>
      <sheetName val="CREATION CARE"/>
      <sheetName val="PB MINSTRY"/>
      <sheetName val="MISSION WITHIN"/>
      <sheetName val="MISSION BEYOND"/>
      <sheetName val="Governance"/>
      <sheetName val="Fin Legal Oper"/>
      <sheetName val="Salary Summary 21 for 2022-2024"/>
    </sheetNames>
    <sheetDataSet>
      <sheetData sheetId="0"/>
      <sheetData sheetId="1"/>
      <sheetData sheetId="2"/>
      <sheetData sheetId="3"/>
      <sheetData sheetId="4"/>
      <sheetData sheetId="5"/>
      <sheetData sheetId="6"/>
      <sheetData sheetId="7"/>
      <sheetData sheetId="8"/>
      <sheetData sheetId="9">
        <row r="17">
          <cell r="P17">
            <v>436708.60530040081</v>
          </cell>
          <cell r="T17">
            <v>450744.65871318564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6096B-9917-4A9C-91F0-62588C7BC156}">
  <sheetPr>
    <tabColor rgb="FF00B050"/>
  </sheetPr>
  <dimension ref="A1:AB476"/>
  <sheetViews>
    <sheetView tabSelected="1" view="pageBreakPreview" zoomScale="75" zoomScaleNormal="75" zoomScaleSheetLayoutView="75" workbookViewId="0">
      <pane xSplit="15" ySplit="5" topLeftCell="R22" activePane="bottomRight" state="frozen"/>
      <selection activeCell="A3" sqref="A3"/>
      <selection pane="topRight" activeCell="A3" sqref="A3"/>
      <selection pane="bottomLeft" activeCell="A3" sqref="A3"/>
      <selection pane="bottomRight" activeCell="Y25" sqref="Y25"/>
    </sheetView>
  </sheetViews>
  <sheetFormatPr defaultColWidth="10.5625" defaultRowHeight="14.25"/>
  <cols>
    <col min="1" max="1" width="11.25" style="41" customWidth="1"/>
    <col min="2" max="2" width="43.5" style="18" customWidth="1"/>
    <col min="3" max="3" width="12.5625" style="19" hidden="1" customWidth="1"/>
    <col min="4" max="4" width="14.3125" style="78" hidden="1" customWidth="1"/>
    <col min="5" max="5" width="14.25" style="78" hidden="1" customWidth="1"/>
    <col min="6" max="6" width="14.75" style="78" hidden="1" customWidth="1"/>
    <col min="7" max="7" width="15.8125" style="78" hidden="1" customWidth="1"/>
    <col min="8" max="8" width="14.3125" style="170" hidden="1" customWidth="1"/>
    <col min="9" max="9" width="12.5" style="78" hidden="1" customWidth="1"/>
    <col min="10" max="10" width="17.9375" style="78" hidden="1" customWidth="1"/>
    <col min="11" max="11" width="13" style="78" hidden="1" customWidth="1"/>
    <col min="12" max="12" width="11.8125" style="78" hidden="1" customWidth="1"/>
    <col min="13" max="13" width="18.75" style="78" hidden="1" customWidth="1"/>
    <col min="14" max="14" width="19.75" style="78" hidden="1" customWidth="1"/>
    <col min="15" max="15" width="15.25" style="170" hidden="1" customWidth="1"/>
    <col min="16" max="16" width="16.0625" style="171" customWidth="1"/>
    <col min="17" max="17" width="20.8125" style="19" customWidth="1"/>
    <col min="18" max="18" width="18" style="19" customWidth="1"/>
    <col min="19" max="19" width="20.3125" style="19" customWidth="1"/>
    <col min="20" max="20" width="14.6875" style="19" customWidth="1"/>
    <col min="21" max="21" width="19.8125" style="19" customWidth="1"/>
    <col min="22" max="22" width="17.3125" style="19" customWidth="1"/>
    <col min="23" max="23" width="13.5625" style="78" customWidth="1"/>
    <col min="24" max="24" width="21.9375" style="23" customWidth="1"/>
    <col min="25" max="25" width="59.3125" style="19" customWidth="1"/>
    <col min="26" max="26" width="14.8125" style="168" customWidth="1"/>
    <col min="27" max="27" width="14.3125" style="78" customWidth="1"/>
    <col min="28" max="28" width="19.8125" style="19" customWidth="1"/>
    <col min="29" max="16384" width="10.5625" style="19"/>
  </cols>
  <sheetData>
    <row r="1" spans="1:28" s="8" customFormat="1" ht="15" customHeight="1">
      <c r="A1" s="1" t="s">
        <v>0</v>
      </c>
      <c r="B1" s="2"/>
      <c r="C1" s="3"/>
      <c r="D1" s="3"/>
      <c r="E1" s="3"/>
      <c r="F1" s="4"/>
      <c r="G1" s="4"/>
      <c r="H1" s="5"/>
      <c r="I1" s="4"/>
      <c r="J1" s="4"/>
      <c r="K1" s="4"/>
      <c r="L1" s="5"/>
      <c r="M1" s="5"/>
      <c r="N1" s="5"/>
      <c r="O1" s="6" t="s">
        <v>1</v>
      </c>
      <c r="P1" s="5"/>
      <c r="Q1" s="7"/>
      <c r="R1" s="5"/>
      <c r="S1" s="4"/>
      <c r="W1" s="5"/>
      <c r="X1" s="9"/>
      <c r="Y1" s="6" t="s">
        <v>1</v>
      </c>
      <c r="Z1" s="10"/>
      <c r="AA1" s="3"/>
    </row>
    <row r="2" spans="1:28" s="8" customFormat="1" ht="15" customHeight="1">
      <c r="A2" s="11" t="s">
        <v>1167</v>
      </c>
      <c r="B2" s="12"/>
      <c r="C2" s="4"/>
      <c r="D2" s="4"/>
      <c r="E2" s="4"/>
      <c r="F2" s="4"/>
      <c r="G2" s="4"/>
      <c r="H2" s="5"/>
      <c r="I2" s="4"/>
      <c r="J2" s="4"/>
      <c r="K2" s="4"/>
      <c r="L2" s="5"/>
      <c r="M2" s="5"/>
      <c r="N2" s="5"/>
      <c r="O2" s="13" t="s">
        <v>2</v>
      </c>
      <c r="P2" s="5"/>
      <c r="Q2" s="5"/>
      <c r="R2" s="5"/>
      <c r="S2" s="4"/>
      <c r="W2" s="5"/>
      <c r="X2" s="9"/>
      <c r="Y2"/>
      <c r="Z2" s="10"/>
      <c r="AA2" s="4"/>
    </row>
    <row r="3" spans="1:28" s="8" customFormat="1" ht="15" customHeight="1">
      <c r="A3" s="14" t="s">
        <v>3</v>
      </c>
      <c r="B3" s="15"/>
      <c r="C3" s="4"/>
      <c r="D3" s="4"/>
      <c r="E3" s="4"/>
      <c r="F3" s="4"/>
      <c r="G3" s="4"/>
      <c r="H3" s="5"/>
      <c r="I3" s="4"/>
      <c r="J3" s="4"/>
      <c r="K3" s="4"/>
      <c r="L3" s="5"/>
      <c r="M3" s="5"/>
      <c r="N3" s="5"/>
      <c r="O3" s="16" t="s">
        <v>4</v>
      </c>
      <c r="P3" s="5"/>
      <c r="Q3" s="5"/>
      <c r="R3" s="5"/>
      <c r="S3" s="4"/>
      <c r="W3" s="5"/>
      <c r="X3" s="9"/>
      <c r="Z3" s="10"/>
      <c r="AA3" s="4"/>
    </row>
    <row r="4" spans="1:28" ht="11.95" customHeight="1" thickBot="1">
      <c r="A4" s="17"/>
      <c r="D4" s="20"/>
      <c r="E4" s="20"/>
      <c r="F4" s="20"/>
      <c r="G4" s="20"/>
      <c r="H4" s="21"/>
      <c r="I4" s="20"/>
      <c r="J4" s="20"/>
      <c r="K4" s="20"/>
      <c r="L4" s="20"/>
      <c r="M4" s="20"/>
      <c r="N4" s="20"/>
      <c r="O4" s="21"/>
      <c r="P4" s="22"/>
      <c r="W4" s="20"/>
      <c r="Z4" s="24"/>
      <c r="AA4" s="20"/>
    </row>
    <row r="5" spans="1:28" s="40" customFormat="1" ht="65.55" customHeight="1" thickBot="1">
      <c r="A5" s="25" t="s">
        <v>5</v>
      </c>
      <c r="B5" s="26" t="s">
        <v>6</v>
      </c>
      <c r="C5" s="27" t="s">
        <v>7</v>
      </c>
      <c r="D5" s="28" t="s">
        <v>8</v>
      </c>
      <c r="E5" s="29" t="s">
        <v>9</v>
      </c>
      <c r="F5" s="29" t="s">
        <v>10</v>
      </c>
      <c r="G5" s="29" t="s">
        <v>11</v>
      </c>
      <c r="H5" s="29" t="s">
        <v>12</v>
      </c>
      <c r="I5" s="30" t="s">
        <v>13</v>
      </c>
      <c r="J5" s="31" t="s">
        <v>14</v>
      </c>
      <c r="K5" s="31" t="s">
        <v>15</v>
      </c>
      <c r="L5" s="30" t="s">
        <v>16</v>
      </c>
      <c r="M5" s="31" t="s">
        <v>17</v>
      </c>
      <c r="N5" s="31" t="s">
        <v>18</v>
      </c>
      <c r="O5" s="31" t="s">
        <v>19</v>
      </c>
      <c r="P5" s="32" t="s">
        <v>20</v>
      </c>
      <c r="Q5" s="33" t="s">
        <v>21</v>
      </c>
      <c r="R5" s="34" t="s">
        <v>22</v>
      </c>
      <c r="S5" s="33" t="s">
        <v>23</v>
      </c>
      <c r="T5" s="33" t="s">
        <v>24</v>
      </c>
      <c r="U5" s="33" t="s">
        <v>25</v>
      </c>
      <c r="V5" s="33" t="s">
        <v>26</v>
      </c>
      <c r="W5" s="35" t="s">
        <v>27</v>
      </c>
      <c r="X5" s="33" t="s">
        <v>28</v>
      </c>
      <c r="Y5" s="36" t="s">
        <v>29</v>
      </c>
      <c r="Z5" s="37" t="s">
        <v>30</v>
      </c>
      <c r="AA5" s="38" t="s">
        <v>31</v>
      </c>
      <c r="AB5" s="39" t="s">
        <v>32</v>
      </c>
    </row>
    <row r="6" spans="1:28" ht="11.95" customHeight="1">
      <c r="D6" s="42"/>
      <c r="E6" s="42"/>
      <c r="F6" s="42"/>
      <c r="G6" s="42"/>
      <c r="H6" s="43"/>
      <c r="I6" s="42"/>
      <c r="J6" s="42"/>
      <c r="K6" s="42"/>
      <c r="L6" s="44"/>
      <c r="M6" s="44"/>
      <c r="N6" s="44"/>
      <c r="O6" s="45"/>
      <c r="P6" s="46"/>
      <c r="Q6" s="47"/>
      <c r="R6" s="47"/>
      <c r="S6" s="47"/>
      <c r="T6" s="47"/>
      <c r="U6" s="47"/>
      <c r="V6" s="47"/>
      <c r="W6" s="42"/>
      <c r="X6" s="48"/>
      <c r="Y6" s="47"/>
      <c r="Z6" s="24"/>
      <c r="AA6" s="49"/>
      <c r="AB6" s="50"/>
    </row>
    <row r="7" spans="1:28" ht="15" customHeight="1">
      <c r="A7" s="41">
        <v>1</v>
      </c>
      <c r="B7" s="51" t="s">
        <v>33</v>
      </c>
      <c r="D7" s="42"/>
      <c r="E7" s="42"/>
      <c r="F7" s="42"/>
      <c r="G7" s="42"/>
      <c r="H7" s="43"/>
      <c r="I7" s="42"/>
      <c r="J7" s="42"/>
      <c r="K7" s="42"/>
      <c r="L7" s="45"/>
      <c r="M7" s="45"/>
      <c r="N7" s="45"/>
      <c r="O7" s="52"/>
      <c r="P7" s="53"/>
      <c r="Q7" s="47"/>
      <c r="R7" s="47"/>
      <c r="S7" s="47"/>
      <c r="T7" s="47"/>
      <c r="U7" s="47"/>
      <c r="V7" s="47"/>
      <c r="W7" s="43"/>
      <c r="X7" s="48"/>
      <c r="Y7" s="47"/>
      <c r="Z7" s="54"/>
      <c r="AA7" s="49"/>
      <c r="AB7" s="50"/>
    </row>
    <row r="8" spans="1:28" ht="15" customHeight="1">
      <c r="A8" s="41">
        <f>A7+1</f>
        <v>2</v>
      </c>
      <c r="D8" s="19"/>
      <c r="E8" s="19"/>
      <c r="F8" s="19"/>
      <c r="G8" s="19"/>
      <c r="H8" s="55"/>
      <c r="I8" s="19"/>
      <c r="J8" s="19"/>
      <c r="K8" s="19"/>
      <c r="L8" s="52"/>
      <c r="M8" s="52"/>
      <c r="N8" s="56">
        <f>L8+M8</f>
        <v>0</v>
      </c>
      <c r="O8" s="57"/>
      <c r="P8" s="56">
        <f t="shared" ref="P8:P37" si="0">M8</f>
        <v>0</v>
      </c>
      <c r="Q8" s="58"/>
      <c r="R8" s="59"/>
      <c r="S8" s="47"/>
      <c r="T8" s="47"/>
      <c r="U8" s="47"/>
      <c r="V8" s="47"/>
      <c r="W8" s="19"/>
      <c r="X8" s="48"/>
      <c r="Y8" s="47"/>
      <c r="Z8" s="60"/>
      <c r="AA8" s="61"/>
      <c r="AB8" s="50"/>
    </row>
    <row r="9" spans="1:28" ht="48.75" customHeight="1">
      <c r="A9" s="41">
        <f t="shared" ref="A9:A44" si="1">A8+1</f>
        <v>3</v>
      </c>
      <c r="B9" s="18" t="s">
        <v>34</v>
      </c>
      <c r="C9" s="62">
        <f>74931206+675000</f>
        <v>75606206</v>
      </c>
      <c r="D9" s="62">
        <v>88855969.597687691</v>
      </c>
      <c r="E9" s="62">
        <v>28175582</v>
      </c>
      <c r="F9" s="62">
        <v>30051999.770175878</v>
      </c>
      <c r="G9" s="62">
        <v>30051999.770175878</v>
      </c>
      <c r="H9" s="63"/>
      <c r="I9" s="62">
        <v>0</v>
      </c>
      <c r="J9" s="62">
        <v>29906835.387731116</v>
      </c>
      <c r="K9" s="62">
        <f>I9+J9</f>
        <v>29906835.387731116</v>
      </c>
      <c r="L9" s="56"/>
      <c r="M9" s="56">
        <f>K9*0.99</f>
        <v>29607767.033853807</v>
      </c>
      <c r="N9" s="56">
        <f t="shared" ref="N9:N43" si="2">L9+M9</f>
        <v>29607767.033853807</v>
      </c>
      <c r="O9" s="64" t="s">
        <v>35</v>
      </c>
      <c r="P9" s="56">
        <f t="shared" si="0"/>
        <v>29607767.033853807</v>
      </c>
      <c r="Q9" s="65">
        <f>(P9*1.005)-(60000*0.15*110)</f>
        <v>28765805.869023073</v>
      </c>
      <c r="R9" s="65">
        <v>0</v>
      </c>
      <c r="S9" s="65">
        <f>Q9*1.005</f>
        <v>28909634.898368187</v>
      </c>
      <c r="T9" s="66">
        <f>R9+S9</f>
        <v>28909634.898368187</v>
      </c>
      <c r="U9" s="66">
        <f>Q9+T9</f>
        <v>57675440.767391264</v>
      </c>
      <c r="V9" s="66">
        <f t="shared" ref="V9:V44" si="3">U9+P9</f>
        <v>87283207.801245064</v>
      </c>
      <c r="W9" s="62">
        <f>E9+G9+K9</f>
        <v>88134417.157906994</v>
      </c>
      <c r="X9" s="48"/>
      <c r="Y9" s="67" t="s">
        <v>36</v>
      </c>
      <c r="Z9" s="60">
        <v>57675440.767391264</v>
      </c>
      <c r="AA9" s="68">
        <v>89163183.872843981</v>
      </c>
      <c r="AB9" s="69">
        <v>57675440.767391264</v>
      </c>
    </row>
    <row r="10" spans="1:28" ht="34.5" customHeight="1">
      <c r="A10" s="41">
        <f t="shared" si="1"/>
        <v>4</v>
      </c>
      <c r="B10" s="18" t="s">
        <v>37</v>
      </c>
      <c r="C10" s="62"/>
      <c r="D10" s="62">
        <v>-5450119.6995825553</v>
      </c>
      <c r="E10" s="62"/>
      <c r="F10" s="62">
        <v>-1533949.7290676893</v>
      </c>
      <c r="G10" s="62">
        <v>-1533949.7290676893</v>
      </c>
      <c r="H10" s="63" t="s">
        <v>38</v>
      </c>
      <c r="I10" s="62">
        <v>0</v>
      </c>
      <c r="J10" s="62">
        <v>-1562632.9276243018</v>
      </c>
      <c r="K10" s="62">
        <f t="shared" ref="K10:K43" si="4">I10+J10</f>
        <v>-1562632.9276243018</v>
      </c>
      <c r="L10" s="56"/>
      <c r="M10" s="56">
        <v>-550000</v>
      </c>
      <c r="N10" s="56">
        <f t="shared" si="2"/>
        <v>-550000</v>
      </c>
      <c r="O10" s="45" t="s">
        <v>39</v>
      </c>
      <c r="P10" s="56">
        <f t="shared" si="0"/>
        <v>-550000</v>
      </c>
      <c r="Q10" s="66">
        <v>-750000</v>
      </c>
      <c r="R10" s="66"/>
      <c r="S10" s="65">
        <v>-750000</v>
      </c>
      <c r="T10" s="66">
        <f t="shared" ref="T10:T43" si="5">R10+S10</f>
        <v>-750000</v>
      </c>
      <c r="U10" s="66">
        <f t="shared" ref="U10:U43" si="6">Q10+T10</f>
        <v>-1500000</v>
      </c>
      <c r="V10" s="66">
        <f t="shared" si="3"/>
        <v>-2050000</v>
      </c>
      <c r="W10" s="62"/>
      <c r="X10" s="48"/>
      <c r="Y10" s="47" t="s">
        <v>40</v>
      </c>
      <c r="Z10" s="60">
        <v>-1500000</v>
      </c>
      <c r="AA10" s="68">
        <v>-5159830.584512949</v>
      </c>
      <c r="AB10" s="69">
        <v>-1500000</v>
      </c>
    </row>
    <row r="11" spans="1:28" ht="15" customHeight="1">
      <c r="A11" s="41" t="s">
        <v>41</v>
      </c>
      <c r="B11" s="18" t="s">
        <v>42</v>
      </c>
      <c r="C11" s="62"/>
      <c r="D11" s="62"/>
      <c r="E11" s="62"/>
      <c r="F11" s="62"/>
      <c r="G11" s="62"/>
      <c r="H11" s="63"/>
      <c r="I11" s="62"/>
      <c r="J11" s="62">
        <v>-1000000</v>
      </c>
      <c r="K11" s="62">
        <f t="shared" si="4"/>
        <v>-1000000</v>
      </c>
      <c r="L11" s="56"/>
      <c r="M11" s="56"/>
      <c r="N11" s="56">
        <f t="shared" si="2"/>
        <v>0</v>
      </c>
      <c r="O11" s="45"/>
      <c r="P11" s="56">
        <f t="shared" si="0"/>
        <v>0</v>
      </c>
      <c r="Q11" s="66"/>
      <c r="R11" s="66"/>
      <c r="S11" s="65">
        <f t="shared" ref="S11:S40" si="7">Q11*1.01</f>
        <v>0</v>
      </c>
      <c r="T11" s="66">
        <f t="shared" si="5"/>
        <v>0</v>
      </c>
      <c r="U11" s="66">
        <f t="shared" si="6"/>
        <v>0</v>
      </c>
      <c r="V11" s="66">
        <f t="shared" si="3"/>
        <v>0</v>
      </c>
      <c r="W11" s="62"/>
      <c r="X11" s="48"/>
      <c r="Y11" s="47"/>
      <c r="Z11" s="60">
        <v>0</v>
      </c>
      <c r="AA11" s="68"/>
      <c r="AB11" s="69">
        <v>0</v>
      </c>
    </row>
    <row r="12" spans="1:28" ht="30.75" customHeight="1">
      <c r="A12" s="41">
        <f>A10+1</f>
        <v>5</v>
      </c>
      <c r="B12" s="18" t="s">
        <v>43</v>
      </c>
      <c r="C12" s="62">
        <v>28232258.343539998</v>
      </c>
      <c r="D12" s="62">
        <v>31756346.32</v>
      </c>
      <c r="E12" s="62">
        <v>9567469</v>
      </c>
      <c r="F12" s="62">
        <v>10706086.037160002</v>
      </c>
      <c r="G12" s="62">
        <v>10706086.037160002</v>
      </c>
      <c r="H12" s="63" t="s">
        <v>44</v>
      </c>
      <c r="I12" s="62">
        <v>0</v>
      </c>
      <c r="J12" s="62">
        <v>10805594.017899999</v>
      </c>
      <c r="K12" s="62">
        <f t="shared" si="4"/>
        <v>10805594.017899999</v>
      </c>
      <c r="L12" s="56"/>
      <c r="M12" s="56">
        <v>11687401.026729999</v>
      </c>
      <c r="N12" s="56">
        <f t="shared" si="2"/>
        <v>11687401.026729999</v>
      </c>
      <c r="O12" s="45" t="s">
        <v>45</v>
      </c>
      <c r="P12" s="56">
        <f t="shared" si="0"/>
        <v>11687401.026729999</v>
      </c>
      <c r="Q12" s="66">
        <v>12556711.846900001</v>
      </c>
      <c r="R12" s="66"/>
      <c r="S12" s="66">
        <v>13522612.758199999</v>
      </c>
      <c r="T12" s="66">
        <f t="shared" si="5"/>
        <v>13522612.758199999</v>
      </c>
      <c r="U12" s="66">
        <f t="shared" si="6"/>
        <v>26079324.605099998</v>
      </c>
      <c r="V12" s="66">
        <f t="shared" si="3"/>
        <v>37766725.631829999</v>
      </c>
      <c r="W12" s="62">
        <f>E12+G12+K12</f>
        <v>31079149.055059999</v>
      </c>
      <c r="X12" s="48"/>
      <c r="Y12" s="47" t="s">
        <v>46</v>
      </c>
      <c r="Z12" s="60">
        <v>26079324.605099998</v>
      </c>
      <c r="AA12" s="68">
        <v>31776943.175300002</v>
      </c>
      <c r="AB12" s="69">
        <v>26079324.605099998</v>
      </c>
    </row>
    <row r="13" spans="1:28" ht="15" customHeight="1">
      <c r="A13" s="41">
        <f t="shared" si="1"/>
        <v>6</v>
      </c>
      <c r="B13" s="18" t="s">
        <v>47</v>
      </c>
      <c r="C13" s="62"/>
      <c r="D13" s="62">
        <v>675000</v>
      </c>
      <c r="E13" s="62"/>
      <c r="F13" s="62">
        <v>225000</v>
      </c>
      <c r="G13" s="62">
        <v>225000</v>
      </c>
      <c r="H13" s="63" t="s">
        <v>44</v>
      </c>
      <c r="I13" s="62">
        <v>0</v>
      </c>
      <c r="J13" s="62">
        <v>225000</v>
      </c>
      <c r="K13" s="62">
        <f t="shared" si="4"/>
        <v>225000</v>
      </c>
      <c r="L13" s="56"/>
      <c r="M13" s="56">
        <v>225000</v>
      </c>
      <c r="N13" s="56">
        <f t="shared" si="2"/>
        <v>225000</v>
      </c>
      <c r="O13" s="45" t="s">
        <v>48</v>
      </c>
      <c r="P13" s="56">
        <f t="shared" si="0"/>
        <v>225000</v>
      </c>
      <c r="Q13" s="66">
        <v>225000</v>
      </c>
      <c r="R13" s="66"/>
      <c r="S13" s="65">
        <f t="shared" si="7"/>
        <v>227250</v>
      </c>
      <c r="T13" s="66">
        <f t="shared" si="5"/>
        <v>227250</v>
      </c>
      <c r="U13" s="66">
        <f t="shared" si="6"/>
        <v>452250</v>
      </c>
      <c r="V13" s="66">
        <f t="shared" si="3"/>
        <v>677250</v>
      </c>
      <c r="W13" s="62"/>
      <c r="X13" s="48"/>
      <c r="Y13" s="47" t="s">
        <v>48</v>
      </c>
      <c r="Z13" s="60">
        <v>452250</v>
      </c>
      <c r="AA13" s="68">
        <v>675000</v>
      </c>
      <c r="AB13" s="69">
        <v>452250</v>
      </c>
    </row>
    <row r="14" spans="1:28" ht="28.15" customHeight="1">
      <c r="A14" s="41">
        <f t="shared" si="1"/>
        <v>7</v>
      </c>
      <c r="B14" s="18" t="s">
        <v>49</v>
      </c>
      <c r="C14" s="62"/>
      <c r="D14" s="62">
        <v>675000</v>
      </c>
      <c r="E14" s="62"/>
      <c r="F14" s="62">
        <v>210000</v>
      </c>
      <c r="G14" s="62">
        <f>200000</f>
        <v>200000</v>
      </c>
      <c r="H14" s="63" t="s">
        <v>50</v>
      </c>
      <c r="I14" s="62">
        <v>0</v>
      </c>
      <c r="J14" s="62">
        <v>225000</v>
      </c>
      <c r="K14" s="62">
        <f t="shared" si="4"/>
        <v>225000</v>
      </c>
      <c r="L14" s="56"/>
      <c r="M14" s="56">
        <f>6000000*0.0275</f>
        <v>165000</v>
      </c>
      <c r="N14" s="56">
        <f t="shared" si="2"/>
        <v>165000</v>
      </c>
      <c r="O14" s="45" t="s">
        <v>51</v>
      </c>
      <c r="P14" s="56">
        <f t="shared" si="0"/>
        <v>165000</v>
      </c>
      <c r="Q14" s="66">
        <v>165000</v>
      </c>
      <c r="R14" s="66"/>
      <c r="S14" s="65">
        <v>165000</v>
      </c>
      <c r="T14" s="66">
        <f t="shared" si="5"/>
        <v>165000</v>
      </c>
      <c r="U14" s="66">
        <f t="shared" si="6"/>
        <v>330000</v>
      </c>
      <c r="V14" s="66">
        <f t="shared" si="3"/>
        <v>495000</v>
      </c>
      <c r="W14" s="62"/>
      <c r="X14" s="48"/>
      <c r="Y14" s="67" t="s">
        <v>51</v>
      </c>
      <c r="Z14" s="60">
        <v>330000</v>
      </c>
      <c r="AA14" s="68">
        <v>675000</v>
      </c>
      <c r="AB14" s="69">
        <v>330000</v>
      </c>
    </row>
    <row r="15" spans="1:28" ht="45.4" customHeight="1">
      <c r="A15" s="41">
        <f t="shared" si="1"/>
        <v>8</v>
      </c>
      <c r="B15" s="18" t="s">
        <v>52</v>
      </c>
      <c r="C15" s="62"/>
      <c r="D15" s="62">
        <v>0</v>
      </c>
      <c r="E15" s="62">
        <v>135497</v>
      </c>
      <c r="F15" s="62">
        <v>200000</v>
      </c>
      <c r="G15" s="62">
        <v>200000</v>
      </c>
      <c r="H15" s="63" t="s">
        <v>53</v>
      </c>
      <c r="I15" s="62"/>
      <c r="J15" s="62">
        <v>200000</v>
      </c>
      <c r="K15" s="62">
        <v>230000</v>
      </c>
      <c r="L15" s="56"/>
      <c r="M15" s="56">
        <v>230000</v>
      </c>
      <c r="N15" s="56">
        <f t="shared" si="2"/>
        <v>230000</v>
      </c>
      <c r="O15" s="45"/>
      <c r="P15" s="56">
        <f t="shared" si="0"/>
        <v>230000</v>
      </c>
      <c r="Q15" s="66"/>
      <c r="R15" s="66"/>
      <c r="S15" s="65">
        <f t="shared" si="7"/>
        <v>0</v>
      </c>
      <c r="T15" s="66">
        <f t="shared" si="5"/>
        <v>0</v>
      </c>
      <c r="U15" s="66">
        <f t="shared" si="6"/>
        <v>0</v>
      </c>
      <c r="V15" s="66">
        <f t="shared" si="3"/>
        <v>230000</v>
      </c>
      <c r="W15" s="62">
        <f>E15+G15+K15</f>
        <v>565497</v>
      </c>
      <c r="X15" s="48"/>
      <c r="Y15" s="47"/>
      <c r="Z15" s="60">
        <v>0</v>
      </c>
      <c r="AA15" s="68">
        <v>656000</v>
      </c>
      <c r="AB15" s="69">
        <v>0</v>
      </c>
    </row>
    <row r="16" spans="1:28" ht="15" customHeight="1">
      <c r="A16" s="41">
        <f t="shared" si="1"/>
        <v>9</v>
      </c>
      <c r="B16" s="18" t="s">
        <v>54</v>
      </c>
      <c r="C16" s="62"/>
      <c r="D16" s="62">
        <v>1000000</v>
      </c>
      <c r="E16" s="62">
        <v>291907</v>
      </c>
      <c r="F16" s="62">
        <v>350000</v>
      </c>
      <c r="G16" s="62">
        <v>350000</v>
      </c>
      <c r="H16" s="63"/>
      <c r="I16" s="62">
        <v>0</v>
      </c>
      <c r="J16" s="62">
        <v>400000</v>
      </c>
      <c r="K16" s="62">
        <f t="shared" si="4"/>
        <v>400000</v>
      </c>
      <c r="L16" s="56"/>
      <c r="M16" s="56">
        <v>450000</v>
      </c>
      <c r="N16" s="56">
        <f t="shared" si="2"/>
        <v>450000</v>
      </c>
      <c r="O16" s="45" t="s">
        <v>55</v>
      </c>
      <c r="P16" s="56">
        <f t="shared" si="0"/>
        <v>450000</v>
      </c>
      <c r="Q16" s="66">
        <v>500000</v>
      </c>
      <c r="R16" s="66"/>
      <c r="S16" s="65">
        <v>500000</v>
      </c>
      <c r="T16" s="66">
        <f t="shared" si="5"/>
        <v>500000</v>
      </c>
      <c r="U16" s="66">
        <f t="shared" si="6"/>
        <v>1000000</v>
      </c>
      <c r="V16" s="66">
        <f t="shared" si="3"/>
        <v>1450000</v>
      </c>
      <c r="W16" s="62">
        <f>E16+G16+K16</f>
        <v>1041907</v>
      </c>
      <c r="X16" s="48"/>
      <c r="Y16" s="47" t="s">
        <v>56</v>
      </c>
      <c r="Z16" s="60">
        <v>1000000</v>
      </c>
      <c r="AA16" s="68">
        <v>1000000</v>
      </c>
      <c r="AB16" s="69">
        <v>1000000</v>
      </c>
    </row>
    <row r="17" spans="1:28" ht="33.4" customHeight="1">
      <c r="A17" s="41">
        <f t="shared" si="1"/>
        <v>10</v>
      </c>
      <c r="B17" s="18" t="s">
        <v>57</v>
      </c>
      <c r="C17" s="62">
        <v>1100000</v>
      </c>
      <c r="D17" s="62">
        <v>0</v>
      </c>
      <c r="E17" s="62"/>
      <c r="F17" s="62">
        <v>0</v>
      </c>
      <c r="G17" s="62"/>
      <c r="H17" s="63"/>
      <c r="I17" s="62"/>
      <c r="J17" s="62">
        <v>0</v>
      </c>
      <c r="K17" s="62">
        <f t="shared" si="4"/>
        <v>0</v>
      </c>
      <c r="L17" s="56"/>
      <c r="M17" s="56">
        <v>0</v>
      </c>
      <c r="N17" s="56">
        <f t="shared" si="2"/>
        <v>0</v>
      </c>
      <c r="O17" s="45"/>
      <c r="P17" s="56">
        <f t="shared" si="0"/>
        <v>0</v>
      </c>
      <c r="Q17" s="66">
        <v>0</v>
      </c>
      <c r="R17" s="66"/>
      <c r="S17" s="65">
        <v>0</v>
      </c>
      <c r="T17" s="66">
        <f t="shared" si="5"/>
        <v>0</v>
      </c>
      <c r="U17" s="66">
        <f t="shared" si="6"/>
        <v>0</v>
      </c>
      <c r="V17" s="66">
        <f t="shared" si="3"/>
        <v>0</v>
      </c>
      <c r="W17" s="62">
        <f>E17+G17+K17</f>
        <v>0</v>
      </c>
      <c r="X17" s="48"/>
      <c r="Y17" s="47"/>
      <c r="Z17" s="60">
        <v>0</v>
      </c>
      <c r="AA17" s="68">
        <v>0</v>
      </c>
      <c r="AB17" s="69">
        <v>0</v>
      </c>
    </row>
    <row r="18" spans="1:28" ht="16.5" customHeight="1">
      <c r="A18" s="41" t="s">
        <v>58</v>
      </c>
      <c r="B18" s="18" t="s">
        <v>59</v>
      </c>
      <c r="C18" s="62">
        <v>2000000</v>
      </c>
      <c r="D18" s="62">
        <v>1000000</v>
      </c>
      <c r="E18" s="70"/>
      <c r="F18" s="70">
        <v>333333.33333333331</v>
      </c>
      <c r="G18" s="70">
        <f>1000000/3</f>
        <v>333333.33333333331</v>
      </c>
      <c r="H18" s="71" t="s">
        <v>60</v>
      </c>
      <c r="I18" s="62">
        <v>0</v>
      </c>
      <c r="J18" s="62">
        <v>333333.33333333331</v>
      </c>
      <c r="K18" s="62">
        <f t="shared" si="4"/>
        <v>333333.33333333331</v>
      </c>
      <c r="L18" s="56"/>
      <c r="M18" s="56">
        <v>0</v>
      </c>
      <c r="N18" s="56">
        <f t="shared" si="2"/>
        <v>0</v>
      </c>
      <c r="O18" s="45" t="s">
        <v>61</v>
      </c>
      <c r="P18" s="56">
        <f t="shared" si="0"/>
        <v>0</v>
      </c>
      <c r="Q18" s="66"/>
      <c r="R18" s="66"/>
      <c r="S18" s="65">
        <f t="shared" si="7"/>
        <v>0</v>
      </c>
      <c r="T18" s="66">
        <f t="shared" si="5"/>
        <v>0</v>
      </c>
      <c r="U18" s="66">
        <f t="shared" si="6"/>
        <v>0</v>
      </c>
      <c r="V18" s="66">
        <f t="shared" si="3"/>
        <v>0</v>
      </c>
      <c r="W18" s="62">
        <f>E18+G18+K18</f>
        <v>666666.66666666663</v>
      </c>
      <c r="X18" s="48"/>
      <c r="Y18" s="47" t="s">
        <v>62</v>
      </c>
      <c r="Z18" s="60">
        <v>0</v>
      </c>
      <c r="AA18" s="68">
        <v>1000000</v>
      </c>
      <c r="AB18" s="69">
        <v>0</v>
      </c>
    </row>
    <row r="19" spans="1:28" ht="15" customHeight="1">
      <c r="A19" s="41" t="s">
        <v>63</v>
      </c>
      <c r="B19" s="18" t="s">
        <v>64</v>
      </c>
      <c r="C19" s="62"/>
      <c r="D19" s="62"/>
      <c r="E19" s="70"/>
      <c r="F19" s="70">
        <v>0</v>
      </c>
      <c r="G19" s="70"/>
      <c r="H19" s="71"/>
      <c r="I19" s="62">
        <v>0</v>
      </c>
      <c r="J19" s="62">
        <v>0</v>
      </c>
      <c r="K19" s="62">
        <f t="shared" si="4"/>
        <v>0</v>
      </c>
      <c r="L19" s="56"/>
      <c r="M19" s="56">
        <v>0</v>
      </c>
      <c r="N19" s="56">
        <f t="shared" si="2"/>
        <v>0</v>
      </c>
      <c r="O19" s="45"/>
      <c r="P19" s="56">
        <f t="shared" si="0"/>
        <v>0</v>
      </c>
      <c r="Q19" s="66"/>
      <c r="R19" s="66"/>
      <c r="S19" s="65">
        <f t="shared" si="7"/>
        <v>0</v>
      </c>
      <c r="T19" s="66">
        <f t="shared" si="5"/>
        <v>0</v>
      </c>
      <c r="U19" s="66">
        <f t="shared" si="6"/>
        <v>0</v>
      </c>
      <c r="V19" s="66">
        <f t="shared" si="3"/>
        <v>0</v>
      </c>
      <c r="W19" s="62">
        <f>E19+G19+K19</f>
        <v>0</v>
      </c>
      <c r="X19" s="48"/>
      <c r="Y19" s="47"/>
      <c r="Z19" s="60">
        <v>0</v>
      </c>
      <c r="AA19" s="68">
        <v>574000</v>
      </c>
      <c r="AB19" s="69">
        <v>0</v>
      </c>
    </row>
    <row r="20" spans="1:28" ht="33" customHeight="1">
      <c r="A20" s="41" t="s">
        <v>65</v>
      </c>
      <c r="B20" s="18" t="s">
        <v>66</v>
      </c>
      <c r="C20" s="62"/>
      <c r="D20" s="62"/>
      <c r="E20" s="70"/>
      <c r="F20" s="70"/>
      <c r="G20" s="70"/>
      <c r="H20" s="71"/>
      <c r="I20" s="62"/>
      <c r="J20" s="62"/>
      <c r="K20" s="62"/>
      <c r="L20" s="56"/>
      <c r="M20" s="56">
        <v>2289261</v>
      </c>
      <c r="N20" s="56">
        <f t="shared" si="2"/>
        <v>2289261</v>
      </c>
      <c r="O20" s="45" t="s">
        <v>67</v>
      </c>
      <c r="P20" s="56">
        <f t="shared" si="0"/>
        <v>2289261</v>
      </c>
      <c r="Q20" s="72">
        <v>2500000</v>
      </c>
      <c r="R20" s="72"/>
      <c r="S20" s="73">
        <f>Q20</f>
        <v>2500000</v>
      </c>
      <c r="T20" s="66">
        <f t="shared" si="5"/>
        <v>2500000</v>
      </c>
      <c r="U20" s="66">
        <f t="shared" si="6"/>
        <v>5000000</v>
      </c>
      <c r="V20" s="66">
        <f t="shared" si="3"/>
        <v>7289261</v>
      </c>
      <c r="W20" s="62"/>
      <c r="X20" s="48"/>
      <c r="Y20" s="47"/>
      <c r="Z20" s="60">
        <v>5000000</v>
      </c>
      <c r="AA20" s="68"/>
      <c r="AB20" s="69">
        <v>6000000</v>
      </c>
    </row>
    <row r="21" spans="1:28" ht="16.899999999999999" customHeight="1">
      <c r="A21" s="41" t="s">
        <v>68</v>
      </c>
      <c r="B21" s="18" t="s">
        <v>69</v>
      </c>
      <c r="C21" s="62"/>
      <c r="D21" s="62"/>
      <c r="E21" s="70"/>
      <c r="F21" s="70"/>
      <c r="G21" s="70"/>
      <c r="H21" s="71"/>
      <c r="I21" s="62"/>
      <c r="J21" s="62"/>
      <c r="K21" s="62">
        <v>0</v>
      </c>
      <c r="L21" s="56"/>
      <c r="M21" s="56">
        <v>2467977</v>
      </c>
      <c r="N21" s="56">
        <f t="shared" si="2"/>
        <v>2467977</v>
      </c>
      <c r="O21" s="45"/>
      <c r="P21" s="56">
        <f t="shared" si="0"/>
        <v>2467977</v>
      </c>
      <c r="Q21" s="74">
        <v>0</v>
      </c>
      <c r="R21" s="66"/>
      <c r="S21" s="65"/>
      <c r="T21" s="66"/>
      <c r="U21" s="66">
        <f t="shared" si="6"/>
        <v>0</v>
      </c>
      <c r="V21" s="66">
        <f t="shared" si="3"/>
        <v>2467977</v>
      </c>
      <c r="W21" s="62"/>
      <c r="X21" s="48"/>
      <c r="Y21" s="47" t="s">
        <v>70</v>
      </c>
      <c r="Z21" s="60"/>
      <c r="AA21" s="68"/>
      <c r="AB21" s="69"/>
    </row>
    <row r="22" spans="1:28" ht="17.649999999999999" customHeight="1">
      <c r="A22" s="41">
        <v>12</v>
      </c>
      <c r="B22" s="18" t="s">
        <v>71</v>
      </c>
      <c r="C22" s="62">
        <f>28232258.34354*0.1</f>
        <v>2823225.8343540002</v>
      </c>
      <c r="D22" s="62">
        <v>0</v>
      </c>
      <c r="E22" s="75"/>
      <c r="F22" s="75">
        <v>0</v>
      </c>
      <c r="G22" s="75"/>
      <c r="H22" s="76"/>
      <c r="I22" s="62">
        <v>0</v>
      </c>
      <c r="J22" s="62">
        <v>0</v>
      </c>
      <c r="K22" s="62">
        <f t="shared" si="4"/>
        <v>0</v>
      </c>
      <c r="L22" s="56"/>
      <c r="M22" s="56">
        <v>0</v>
      </c>
      <c r="N22" s="56">
        <f t="shared" si="2"/>
        <v>0</v>
      </c>
      <c r="O22" s="77"/>
      <c r="P22" s="56">
        <f t="shared" si="0"/>
        <v>0</v>
      </c>
      <c r="Q22" s="66"/>
      <c r="R22" s="66"/>
      <c r="S22" s="65">
        <f t="shared" si="7"/>
        <v>0</v>
      </c>
      <c r="T22" s="66">
        <f t="shared" si="5"/>
        <v>0</v>
      </c>
      <c r="U22" s="66">
        <f t="shared" si="6"/>
        <v>0</v>
      </c>
      <c r="V22" s="66">
        <f t="shared" si="3"/>
        <v>0</v>
      </c>
      <c r="W22" s="62">
        <f t="shared" ref="W22:W36" si="8">E22+G22+K22</f>
        <v>0</v>
      </c>
      <c r="X22" s="48"/>
      <c r="Y22" s="47"/>
      <c r="Z22" s="60">
        <v>0</v>
      </c>
      <c r="AA22" s="68"/>
      <c r="AB22" s="69">
        <v>0</v>
      </c>
    </row>
    <row r="23" spans="1:28">
      <c r="A23" s="41" t="s">
        <v>72</v>
      </c>
      <c r="B23" s="18" t="s">
        <v>64</v>
      </c>
      <c r="C23" s="62">
        <v>0</v>
      </c>
      <c r="D23" s="62">
        <v>0</v>
      </c>
      <c r="E23" s="75"/>
      <c r="F23" s="75">
        <v>0</v>
      </c>
      <c r="G23" s="75"/>
      <c r="H23" s="76"/>
      <c r="I23" s="62">
        <v>0</v>
      </c>
      <c r="J23" s="62">
        <v>0</v>
      </c>
      <c r="K23" s="62">
        <f t="shared" si="4"/>
        <v>0</v>
      </c>
      <c r="L23" s="56"/>
      <c r="M23" s="56">
        <v>0</v>
      </c>
      <c r="N23" s="56">
        <f t="shared" si="2"/>
        <v>0</v>
      </c>
      <c r="O23" s="77"/>
      <c r="P23" s="56">
        <f t="shared" si="0"/>
        <v>0</v>
      </c>
      <c r="Q23" s="66"/>
      <c r="R23" s="66"/>
      <c r="S23" s="65">
        <f t="shared" si="7"/>
        <v>0</v>
      </c>
      <c r="T23" s="66">
        <f t="shared" si="5"/>
        <v>0</v>
      </c>
      <c r="U23" s="66">
        <f t="shared" si="6"/>
        <v>0</v>
      </c>
      <c r="V23" s="66">
        <f t="shared" si="3"/>
        <v>0</v>
      </c>
      <c r="W23" s="62">
        <f t="shared" si="8"/>
        <v>0</v>
      </c>
      <c r="X23" s="48"/>
      <c r="Y23" s="47"/>
      <c r="Z23" s="60">
        <v>0</v>
      </c>
      <c r="AA23" s="68"/>
      <c r="AB23" s="69">
        <v>0</v>
      </c>
    </row>
    <row r="24" spans="1:28" ht="15" customHeight="1">
      <c r="A24" s="41" t="s">
        <v>73</v>
      </c>
      <c r="B24" s="18" t="s">
        <v>74</v>
      </c>
      <c r="C24" s="62"/>
      <c r="D24" s="62">
        <v>0</v>
      </c>
      <c r="E24" s="75"/>
      <c r="F24" s="70">
        <v>317792.99616565253</v>
      </c>
      <c r="G24" s="70">
        <v>317792.99616565253</v>
      </c>
      <c r="H24" s="76"/>
      <c r="I24" s="62">
        <v>0</v>
      </c>
      <c r="J24" s="62">
        <v>317793</v>
      </c>
      <c r="K24" s="62">
        <f t="shared" si="4"/>
        <v>317793</v>
      </c>
      <c r="L24" s="56"/>
      <c r="M24" s="56">
        <v>0</v>
      </c>
      <c r="N24" s="56">
        <f t="shared" si="2"/>
        <v>0</v>
      </c>
      <c r="O24" s="77" t="s">
        <v>75</v>
      </c>
      <c r="P24" s="56">
        <f t="shared" si="0"/>
        <v>0</v>
      </c>
      <c r="Q24" s="66"/>
      <c r="R24" s="66"/>
      <c r="S24" s="65">
        <f t="shared" si="7"/>
        <v>0</v>
      </c>
      <c r="T24" s="66">
        <f t="shared" si="5"/>
        <v>0</v>
      </c>
      <c r="U24" s="66">
        <f t="shared" si="6"/>
        <v>0</v>
      </c>
      <c r="V24" s="66">
        <f t="shared" si="3"/>
        <v>0</v>
      </c>
      <c r="W24" s="62">
        <f t="shared" si="8"/>
        <v>635585.99616565253</v>
      </c>
      <c r="X24" s="48"/>
      <c r="Y24" s="47"/>
      <c r="Z24" s="60">
        <v>0</v>
      </c>
      <c r="AA24" s="68"/>
      <c r="AB24" s="69">
        <v>0</v>
      </c>
    </row>
    <row r="25" spans="1:28" ht="15.4" customHeight="1">
      <c r="A25" s="41">
        <v>14</v>
      </c>
      <c r="B25" s="18" t="s">
        <v>76</v>
      </c>
      <c r="C25" s="62">
        <v>9999607</v>
      </c>
      <c r="D25" s="62">
        <v>9837896.9604000002</v>
      </c>
      <c r="E25" s="70">
        <v>2322164</v>
      </c>
      <c r="F25" s="70">
        <v>2954434.1399999997</v>
      </c>
      <c r="G25" s="75">
        <v>2854000</v>
      </c>
      <c r="H25" s="76" t="s">
        <v>50</v>
      </c>
      <c r="I25" s="62">
        <v>0</v>
      </c>
      <c r="J25" s="62">
        <v>3410000</v>
      </c>
      <c r="K25" s="62">
        <f t="shared" si="4"/>
        <v>3410000</v>
      </c>
      <c r="L25" s="56"/>
      <c r="M25" s="56">
        <f>'[3]rent 2022-2024'!H21</f>
        <v>3107884.9874666668</v>
      </c>
      <c r="N25" s="56">
        <f t="shared" si="2"/>
        <v>3107884.9874666668</v>
      </c>
      <c r="O25" s="77" t="s">
        <v>77</v>
      </c>
      <c r="P25" s="56">
        <f t="shared" si="0"/>
        <v>3107884.9874666668</v>
      </c>
      <c r="Q25" s="66">
        <f>'[3]rent 2022-2024'!P21</f>
        <v>3378517.4295000001</v>
      </c>
      <c r="R25" s="66"/>
      <c r="S25" s="66">
        <f>'[3]rent 2022-2024'!U21</f>
        <v>3629618.4909666665</v>
      </c>
      <c r="T25" s="66">
        <f t="shared" si="5"/>
        <v>3629618.4909666665</v>
      </c>
      <c r="U25" s="66">
        <f t="shared" si="6"/>
        <v>7008135.920466667</v>
      </c>
      <c r="V25" s="66">
        <f t="shared" si="3"/>
        <v>10116020.907933334</v>
      </c>
      <c r="W25" s="62">
        <f t="shared" si="8"/>
        <v>8586164</v>
      </c>
      <c r="X25" s="48"/>
      <c r="Y25" s="47"/>
      <c r="Z25" s="60">
        <v>7008135.920466667</v>
      </c>
      <c r="AA25" s="68">
        <v>9068399.2996999994</v>
      </c>
      <c r="AB25" s="69">
        <v>7008135.920466667</v>
      </c>
    </row>
    <row r="26" spans="1:28" ht="15" customHeight="1">
      <c r="A26" s="41">
        <f t="shared" si="1"/>
        <v>15</v>
      </c>
      <c r="B26" s="18" t="s">
        <v>78</v>
      </c>
      <c r="C26" s="62"/>
      <c r="D26" s="62"/>
      <c r="E26" s="62"/>
      <c r="G26" s="62"/>
      <c r="H26" s="63"/>
      <c r="I26" s="62">
        <v>0</v>
      </c>
      <c r="J26" s="62">
        <v>0</v>
      </c>
      <c r="K26" s="62">
        <f t="shared" si="4"/>
        <v>0</v>
      </c>
      <c r="L26" s="56"/>
      <c r="M26" s="56"/>
      <c r="N26" s="56">
        <f t="shared" si="2"/>
        <v>0</v>
      </c>
      <c r="O26" s="45"/>
      <c r="P26" s="56">
        <f t="shared" si="0"/>
        <v>0</v>
      </c>
      <c r="Q26" s="66"/>
      <c r="R26" s="66"/>
      <c r="S26" s="65">
        <f t="shared" si="7"/>
        <v>0</v>
      </c>
      <c r="T26" s="66">
        <f t="shared" si="5"/>
        <v>0</v>
      </c>
      <c r="U26" s="66">
        <f t="shared" si="6"/>
        <v>0</v>
      </c>
      <c r="V26" s="66">
        <f t="shared" si="3"/>
        <v>0</v>
      </c>
      <c r="W26" s="62">
        <f t="shared" si="8"/>
        <v>0</v>
      </c>
      <c r="X26" s="48"/>
      <c r="Y26" s="47"/>
      <c r="Z26" s="60">
        <v>0</v>
      </c>
      <c r="AA26" s="68">
        <v>0</v>
      </c>
      <c r="AB26" s="69">
        <v>0</v>
      </c>
    </row>
    <row r="27" spans="1:28" ht="15" customHeight="1">
      <c r="A27" s="41">
        <f t="shared" si="1"/>
        <v>16</v>
      </c>
      <c r="B27" s="79" t="s">
        <v>79</v>
      </c>
      <c r="C27" s="62">
        <v>1252529.6600000001</v>
      </c>
      <c r="D27" s="62">
        <v>1352530</v>
      </c>
      <c r="E27" s="62">
        <v>19359</v>
      </c>
      <c r="G27" s="62"/>
      <c r="H27" s="63"/>
      <c r="I27" s="62">
        <v>1352530</v>
      </c>
      <c r="J27" s="62">
        <v>0</v>
      </c>
      <c r="K27" s="62">
        <f t="shared" si="4"/>
        <v>1352530</v>
      </c>
      <c r="L27" s="56">
        <f>K27</f>
        <v>1352530</v>
      </c>
      <c r="M27" s="56"/>
      <c r="N27" s="56">
        <f t="shared" si="2"/>
        <v>1352530</v>
      </c>
      <c r="O27" s="45" t="s">
        <v>80</v>
      </c>
      <c r="P27" s="56">
        <f t="shared" si="0"/>
        <v>0</v>
      </c>
      <c r="Q27" s="66"/>
      <c r="R27" s="66">
        <v>1500000</v>
      </c>
      <c r="S27" s="65">
        <f t="shared" si="7"/>
        <v>0</v>
      </c>
      <c r="T27" s="66">
        <f t="shared" si="5"/>
        <v>1500000</v>
      </c>
      <c r="U27" s="66">
        <f t="shared" si="6"/>
        <v>1500000</v>
      </c>
      <c r="V27" s="66">
        <f t="shared" si="3"/>
        <v>1500000</v>
      </c>
      <c r="W27" s="62">
        <f t="shared" si="8"/>
        <v>1371889</v>
      </c>
      <c r="X27" s="48"/>
      <c r="Y27" s="47"/>
      <c r="Z27" s="60">
        <v>1500000</v>
      </c>
      <c r="AA27" s="68">
        <v>1352530</v>
      </c>
      <c r="AB27" s="69">
        <v>1500000</v>
      </c>
    </row>
    <row r="28" spans="1:28" ht="15" customHeight="1">
      <c r="A28" s="41">
        <f t="shared" si="1"/>
        <v>17</v>
      </c>
      <c r="B28" s="79" t="s">
        <v>81</v>
      </c>
      <c r="C28" s="62">
        <v>189416.7</v>
      </c>
      <c r="D28" s="62">
        <v>0</v>
      </c>
      <c r="E28" s="62"/>
      <c r="G28" s="62"/>
      <c r="H28" s="63"/>
      <c r="I28" s="62">
        <v>0</v>
      </c>
      <c r="J28" s="62">
        <v>0</v>
      </c>
      <c r="K28" s="62">
        <f t="shared" si="4"/>
        <v>0</v>
      </c>
      <c r="L28" s="56"/>
      <c r="M28" s="56"/>
      <c r="N28" s="56">
        <f t="shared" si="2"/>
        <v>0</v>
      </c>
      <c r="O28" s="45" t="s">
        <v>82</v>
      </c>
      <c r="P28" s="56">
        <f t="shared" si="0"/>
        <v>0</v>
      </c>
      <c r="Q28" s="66"/>
      <c r="R28" s="66"/>
      <c r="S28" s="65">
        <f t="shared" si="7"/>
        <v>0</v>
      </c>
      <c r="T28" s="66">
        <f t="shared" si="5"/>
        <v>0</v>
      </c>
      <c r="U28" s="66">
        <f t="shared" si="6"/>
        <v>0</v>
      </c>
      <c r="V28" s="66">
        <f t="shared" si="3"/>
        <v>0</v>
      </c>
      <c r="W28" s="62">
        <f t="shared" si="8"/>
        <v>0</v>
      </c>
      <c r="X28" s="48"/>
      <c r="Y28" s="47"/>
      <c r="Z28" s="60">
        <v>0</v>
      </c>
      <c r="AA28" s="68">
        <v>0</v>
      </c>
      <c r="AB28" s="69">
        <v>0</v>
      </c>
    </row>
    <row r="29" spans="1:28" ht="15" customHeight="1">
      <c r="A29" s="41">
        <f t="shared" si="1"/>
        <v>18</v>
      </c>
      <c r="B29" s="79" t="s">
        <v>83</v>
      </c>
      <c r="C29" s="62">
        <v>333900</v>
      </c>
      <c r="D29" s="62">
        <v>600000</v>
      </c>
      <c r="E29" s="70"/>
      <c r="F29" s="70">
        <v>200000</v>
      </c>
      <c r="G29" s="70">
        <v>210000</v>
      </c>
      <c r="H29" s="71"/>
      <c r="I29" s="62">
        <v>0</v>
      </c>
      <c r="J29" s="62">
        <v>200000</v>
      </c>
      <c r="K29" s="62">
        <f t="shared" si="4"/>
        <v>200000</v>
      </c>
      <c r="L29" s="56"/>
      <c r="M29" s="56">
        <v>400000</v>
      </c>
      <c r="N29" s="56">
        <f t="shared" si="2"/>
        <v>400000</v>
      </c>
      <c r="O29" s="45" t="s">
        <v>84</v>
      </c>
      <c r="P29" s="56">
        <f t="shared" si="0"/>
        <v>400000</v>
      </c>
      <c r="Q29" s="66">
        <v>400000</v>
      </c>
      <c r="R29" s="66"/>
      <c r="S29" s="65">
        <v>400000</v>
      </c>
      <c r="T29" s="66">
        <f t="shared" si="5"/>
        <v>400000</v>
      </c>
      <c r="U29" s="66">
        <f t="shared" si="6"/>
        <v>800000</v>
      </c>
      <c r="V29" s="66">
        <f t="shared" si="3"/>
        <v>1200000</v>
      </c>
      <c r="W29" s="62">
        <f t="shared" si="8"/>
        <v>410000</v>
      </c>
      <c r="X29" s="48"/>
      <c r="Y29" s="80" t="s">
        <v>84</v>
      </c>
      <c r="Z29" s="60">
        <v>800000</v>
      </c>
      <c r="AA29" s="68">
        <v>600000</v>
      </c>
      <c r="AB29" s="69">
        <v>800000</v>
      </c>
    </row>
    <row r="30" spans="1:28" ht="15" customHeight="1">
      <c r="A30" s="41">
        <f t="shared" si="1"/>
        <v>19</v>
      </c>
      <c r="B30" s="79" t="s">
        <v>64</v>
      </c>
      <c r="C30" s="62">
        <v>339083.4</v>
      </c>
      <c r="D30" s="62">
        <v>0</v>
      </c>
      <c r="E30" s="62"/>
      <c r="F30" s="62"/>
      <c r="G30" s="62"/>
      <c r="H30" s="63"/>
      <c r="I30" s="62">
        <v>0</v>
      </c>
      <c r="J30" s="62">
        <v>0</v>
      </c>
      <c r="K30" s="62">
        <f t="shared" si="4"/>
        <v>0</v>
      </c>
      <c r="L30" s="56"/>
      <c r="M30" s="56"/>
      <c r="N30" s="56">
        <f t="shared" si="2"/>
        <v>0</v>
      </c>
      <c r="O30" s="45" t="s">
        <v>85</v>
      </c>
      <c r="P30" s="56">
        <f t="shared" si="0"/>
        <v>0</v>
      </c>
      <c r="Q30" s="66"/>
      <c r="R30" s="66"/>
      <c r="S30" s="65">
        <f t="shared" si="7"/>
        <v>0</v>
      </c>
      <c r="T30" s="66">
        <f t="shared" si="5"/>
        <v>0</v>
      </c>
      <c r="U30" s="66">
        <f t="shared" si="6"/>
        <v>0</v>
      </c>
      <c r="V30" s="66">
        <f t="shared" si="3"/>
        <v>0</v>
      </c>
      <c r="W30" s="62">
        <f t="shared" si="8"/>
        <v>0</v>
      </c>
      <c r="X30" s="48"/>
      <c r="Y30" s="47"/>
      <c r="Z30" s="60">
        <v>0</v>
      </c>
      <c r="AA30" s="68">
        <v>0</v>
      </c>
      <c r="AB30" s="69">
        <v>0</v>
      </c>
    </row>
    <row r="31" spans="1:28" ht="15" customHeight="1">
      <c r="A31" s="41">
        <f t="shared" si="1"/>
        <v>20</v>
      </c>
      <c r="B31" s="79" t="s">
        <v>64</v>
      </c>
      <c r="C31" s="62">
        <v>298855.34000000003</v>
      </c>
      <c r="D31" s="62">
        <v>0</v>
      </c>
      <c r="E31" s="62"/>
      <c r="F31" s="62"/>
      <c r="G31" s="62"/>
      <c r="H31" s="63"/>
      <c r="I31" s="62">
        <v>0</v>
      </c>
      <c r="J31" s="62">
        <v>0</v>
      </c>
      <c r="K31" s="62">
        <f t="shared" si="4"/>
        <v>0</v>
      </c>
      <c r="L31" s="56"/>
      <c r="M31" s="56"/>
      <c r="N31" s="56">
        <f t="shared" si="2"/>
        <v>0</v>
      </c>
      <c r="O31" s="45"/>
      <c r="P31" s="56">
        <f t="shared" si="0"/>
        <v>0</v>
      </c>
      <c r="Q31" s="66"/>
      <c r="R31" s="66"/>
      <c r="S31" s="65">
        <f t="shared" si="7"/>
        <v>0</v>
      </c>
      <c r="T31" s="66">
        <f t="shared" si="5"/>
        <v>0</v>
      </c>
      <c r="U31" s="66">
        <f t="shared" si="6"/>
        <v>0</v>
      </c>
      <c r="V31" s="66">
        <f t="shared" si="3"/>
        <v>0</v>
      </c>
      <c r="W31" s="62">
        <f t="shared" si="8"/>
        <v>0</v>
      </c>
      <c r="X31" s="48"/>
      <c r="Y31" s="47"/>
      <c r="Z31" s="60">
        <v>0</v>
      </c>
      <c r="AA31" s="68">
        <v>0</v>
      </c>
      <c r="AB31" s="69">
        <v>0</v>
      </c>
    </row>
    <row r="32" spans="1:28" ht="31.5" customHeight="1">
      <c r="A32" s="41">
        <f t="shared" si="1"/>
        <v>21</v>
      </c>
      <c r="B32" s="79" t="s">
        <v>86</v>
      </c>
      <c r="C32" s="62">
        <v>2164000</v>
      </c>
      <c r="D32" s="62">
        <v>1968535</v>
      </c>
      <c r="E32" s="70">
        <v>807530</v>
      </c>
      <c r="F32" s="70">
        <v>650000</v>
      </c>
      <c r="G32" s="70">
        <v>650000</v>
      </c>
      <c r="H32" s="71" t="s">
        <v>87</v>
      </c>
      <c r="I32" s="62">
        <v>0</v>
      </c>
      <c r="J32" s="62">
        <v>656178.33333333337</v>
      </c>
      <c r="K32" s="62">
        <f t="shared" si="4"/>
        <v>656178.33333333337</v>
      </c>
      <c r="L32" s="56"/>
      <c r="M32" s="56">
        <v>550000</v>
      </c>
      <c r="N32" s="56">
        <f t="shared" si="2"/>
        <v>550000</v>
      </c>
      <c r="O32" s="45" t="s">
        <v>88</v>
      </c>
      <c r="P32" s="56">
        <f t="shared" si="0"/>
        <v>550000</v>
      </c>
      <c r="Q32" s="66">
        <v>600000</v>
      </c>
      <c r="R32" s="66"/>
      <c r="S32" s="65">
        <v>600000</v>
      </c>
      <c r="T32" s="66">
        <f t="shared" si="5"/>
        <v>600000</v>
      </c>
      <c r="U32" s="66">
        <f t="shared" si="6"/>
        <v>1200000</v>
      </c>
      <c r="V32" s="66">
        <f t="shared" si="3"/>
        <v>1750000</v>
      </c>
      <c r="W32" s="62">
        <f t="shared" si="8"/>
        <v>2113708.3333333335</v>
      </c>
      <c r="X32" s="48"/>
      <c r="Y32" s="47" t="s">
        <v>89</v>
      </c>
      <c r="Z32" s="60">
        <v>1200000</v>
      </c>
      <c r="AA32" s="68">
        <v>1968535</v>
      </c>
      <c r="AB32" s="69">
        <v>1200000</v>
      </c>
    </row>
    <row r="33" spans="1:28" ht="15" customHeight="1">
      <c r="A33" s="41">
        <f t="shared" si="1"/>
        <v>22</v>
      </c>
      <c r="B33" s="79" t="s">
        <v>90</v>
      </c>
      <c r="C33" s="62">
        <v>133560</v>
      </c>
      <c r="D33" s="62">
        <v>133560</v>
      </c>
      <c r="E33" s="70"/>
      <c r="F33" s="70">
        <v>44520</v>
      </c>
      <c r="G33" s="70">
        <v>44520</v>
      </c>
      <c r="H33" s="71"/>
      <c r="I33" s="62">
        <v>0</v>
      </c>
      <c r="J33" s="62">
        <v>44520</v>
      </c>
      <c r="K33" s="62">
        <f t="shared" si="4"/>
        <v>44520</v>
      </c>
      <c r="L33" s="56"/>
      <c r="M33" s="56">
        <v>40000</v>
      </c>
      <c r="N33" s="56">
        <f t="shared" si="2"/>
        <v>40000</v>
      </c>
      <c r="O33" s="45" t="s">
        <v>91</v>
      </c>
      <c r="P33" s="56">
        <f t="shared" si="0"/>
        <v>40000</v>
      </c>
      <c r="Q33" s="66">
        <v>38000</v>
      </c>
      <c r="R33" s="66"/>
      <c r="S33" s="65">
        <v>39000</v>
      </c>
      <c r="T33" s="66">
        <f t="shared" si="5"/>
        <v>39000</v>
      </c>
      <c r="U33" s="66">
        <f t="shared" si="6"/>
        <v>77000</v>
      </c>
      <c r="V33" s="66">
        <f t="shared" si="3"/>
        <v>117000</v>
      </c>
      <c r="W33" s="62">
        <f t="shared" si="8"/>
        <v>89040</v>
      </c>
      <c r="X33" s="48"/>
      <c r="Y33" s="47"/>
      <c r="Z33" s="60">
        <v>0</v>
      </c>
      <c r="AA33" s="68">
        <v>133560</v>
      </c>
      <c r="AB33" s="69">
        <v>0</v>
      </c>
    </row>
    <row r="34" spans="1:28" ht="15" customHeight="1">
      <c r="A34" s="41">
        <f>A33+1</f>
        <v>23</v>
      </c>
      <c r="B34" s="79" t="s">
        <v>64</v>
      </c>
      <c r="C34" s="62">
        <f>'MISSION BEYOND'!C108</f>
        <v>122505</v>
      </c>
      <c r="D34" s="62">
        <v>0</v>
      </c>
      <c r="E34" s="70"/>
      <c r="F34" s="70">
        <v>0</v>
      </c>
      <c r="G34" s="70"/>
      <c r="H34" s="71"/>
      <c r="I34" s="62">
        <v>0</v>
      </c>
      <c r="J34" s="62">
        <v>0</v>
      </c>
      <c r="K34" s="62">
        <f t="shared" si="4"/>
        <v>0</v>
      </c>
      <c r="L34" s="56"/>
      <c r="M34" s="56"/>
      <c r="N34" s="56">
        <f t="shared" si="2"/>
        <v>0</v>
      </c>
      <c r="O34" s="45"/>
      <c r="P34" s="56">
        <f t="shared" si="0"/>
        <v>0</v>
      </c>
      <c r="Q34" s="66"/>
      <c r="R34" s="66"/>
      <c r="S34" s="65">
        <f t="shared" si="7"/>
        <v>0</v>
      </c>
      <c r="T34" s="66">
        <f t="shared" si="5"/>
        <v>0</v>
      </c>
      <c r="U34" s="66">
        <f t="shared" si="6"/>
        <v>0</v>
      </c>
      <c r="V34" s="66">
        <f t="shared" si="3"/>
        <v>0</v>
      </c>
      <c r="W34" s="62">
        <f t="shared" si="8"/>
        <v>0</v>
      </c>
      <c r="X34" s="48"/>
      <c r="Y34" s="47"/>
      <c r="Z34" s="60">
        <v>0</v>
      </c>
      <c r="AA34" s="68">
        <v>0</v>
      </c>
      <c r="AB34" s="69">
        <v>0</v>
      </c>
    </row>
    <row r="35" spans="1:28" ht="15" customHeight="1">
      <c r="A35" s="41">
        <f t="shared" si="1"/>
        <v>24</v>
      </c>
      <c r="B35" s="79" t="s">
        <v>64</v>
      </c>
      <c r="C35" s="62">
        <v>131877</v>
      </c>
      <c r="D35" s="62">
        <v>0</v>
      </c>
      <c r="E35" s="70"/>
      <c r="F35" s="70">
        <v>0</v>
      </c>
      <c r="G35" s="70"/>
      <c r="H35" s="71"/>
      <c r="I35" s="62">
        <v>0</v>
      </c>
      <c r="J35" s="62">
        <v>0</v>
      </c>
      <c r="K35" s="62">
        <f t="shared" si="4"/>
        <v>0</v>
      </c>
      <c r="L35" s="56"/>
      <c r="M35" s="56"/>
      <c r="N35" s="56">
        <f t="shared" si="2"/>
        <v>0</v>
      </c>
      <c r="O35" s="45"/>
      <c r="P35" s="56">
        <f t="shared" si="0"/>
        <v>0</v>
      </c>
      <c r="Q35" s="66"/>
      <c r="R35" s="66"/>
      <c r="S35" s="65">
        <f t="shared" si="7"/>
        <v>0</v>
      </c>
      <c r="T35" s="66">
        <f t="shared" si="5"/>
        <v>0</v>
      </c>
      <c r="U35" s="66">
        <f t="shared" si="6"/>
        <v>0</v>
      </c>
      <c r="V35" s="66">
        <f t="shared" si="3"/>
        <v>0</v>
      </c>
      <c r="W35" s="62">
        <f t="shared" si="8"/>
        <v>0</v>
      </c>
      <c r="X35" s="48"/>
      <c r="Y35" s="47"/>
      <c r="Z35" s="60">
        <v>0</v>
      </c>
      <c r="AA35" s="68">
        <v>0</v>
      </c>
      <c r="AB35" s="69">
        <v>0</v>
      </c>
    </row>
    <row r="36" spans="1:28" ht="15" customHeight="1">
      <c r="A36" s="41">
        <f t="shared" si="1"/>
        <v>25</v>
      </c>
      <c r="B36" s="79" t="s">
        <v>92</v>
      </c>
      <c r="C36" s="62">
        <v>356160</v>
      </c>
      <c r="D36" s="62">
        <v>360000</v>
      </c>
      <c r="E36" s="70"/>
      <c r="F36" s="70">
        <v>220000</v>
      </c>
      <c r="G36" s="70">
        <v>210000</v>
      </c>
      <c r="H36" s="71" t="s">
        <v>93</v>
      </c>
      <c r="I36" s="62">
        <v>0</v>
      </c>
      <c r="J36" s="62">
        <v>120000</v>
      </c>
      <c r="K36" s="62">
        <f t="shared" si="4"/>
        <v>120000</v>
      </c>
      <c r="L36" s="56"/>
      <c r="M36" s="56">
        <v>120000</v>
      </c>
      <c r="N36" s="56">
        <f t="shared" si="2"/>
        <v>120000</v>
      </c>
      <c r="O36" s="45" t="s">
        <v>91</v>
      </c>
      <c r="P36" s="81">
        <f t="shared" si="0"/>
        <v>120000</v>
      </c>
      <c r="Q36" s="66">
        <v>120000</v>
      </c>
      <c r="R36" s="66"/>
      <c r="S36" s="65">
        <v>120000</v>
      </c>
      <c r="T36" s="66">
        <f t="shared" si="5"/>
        <v>120000</v>
      </c>
      <c r="U36" s="66">
        <f>Q36+T36</f>
        <v>240000</v>
      </c>
      <c r="V36" s="66">
        <f t="shared" si="3"/>
        <v>360000</v>
      </c>
      <c r="W36" s="62">
        <f t="shared" si="8"/>
        <v>330000</v>
      </c>
      <c r="X36" s="48"/>
      <c r="Y36" s="47" t="s">
        <v>91</v>
      </c>
      <c r="Z36" s="60">
        <v>240000</v>
      </c>
      <c r="AA36" s="68">
        <v>360000</v>
      </c>
      <c r="AB36" s="69">
        <v>240000</v>
      </c>
    </row>
    <row r="37" spans="1:28" ht="15" customHeight="1">
      <c r="A37" s="41">
        <f t="shared" si="1"/>
        <v>26</v>
      </c>
      <c r="B37" s="18" t="s">
        <v>94</v>
      </c>
      <c r="C37" s="82">
        <f>SUM(C27:C36)</f>
        <v>5321887.0999999996</v>
      </c>
      <c r="D37" s="82">
        <v>4414625</v>
      </c>
      <c r="E37" s="82">
        <f>SUM(E27:E36)</f>
        <v>826889</v>
      </c>
      <c r="F37" s="82">
        <f>SUM(F27:F36)</f>
        <v>1114520</v>
      </c>
      <c r="G37" s="82">
        <f>SUM(G27:G36)</f>
        <v>1114520</v>
      </c>
      <c r="H37" s="83"/>
      <c r="I37" s="82">
        <v>1352530</v>
      </c>
      <c r="J37" s="82">
        <v>1020698.3333333334</v>
      </c>
      <c r="K37" s="82">
        <f t="shared" ref="K37:L37" si="9">SUM(K27:K36)</f>
        <v>2373228.3333333335</v>
      </c>
      <c r="L37" s="84">
        <f t="shared" si="9"/>
        <v>1352530</v>
      </c>
      <c r="M37" s="84">
        <f>SUM(M27:M36)</f>
        <v>1110000</v>
      </c>
      <c r="N37" s="84">
        <f>SUM(N27:N36)</f>
        <v>2462530</v>
      </c>
      <c r="O37" s="85" t="s">
        <v>95</v>
      </c>
      <c r="P37" s="56">
        <f t="shared" si="0"/>
        <v>1110000</v>
      </c>
      <c r="Q37" s="86">
        <f t="shared" ref="Q37:U37" si="10">SUM(Q27:Q36)</f>
        <v>1158000</v>
      </c>
      <c r="R37" s="86">
        <f t="shared" si="10"/>
        <v>1500000</v>
      </c>
      <c r="S37" s="87">
        <f t="shared" si="10"/>
        <v>1159000</v>
      </c>
      <c r="T37" s="86">
        <f t="shared" si="10"/>
        <v>2659000</v>
      </c>
      <c r="U37" s="86">
        <f t="shared" si="10"/>
        <v>3817000</v>
      </c>
      <c r="V37" s="86">
        <f t="shared" si="3"/>
        <v>4927000</v>
      </c>
      <c r="W37" s="82">
        <f>SUM(W27:W36)</f>
        <v>4314637.333333334</v>
      </c>
      <c r="X37" s="48"/>
      <c r="Y37" s="47"/>
      <c r="Z37" s="60">
        <v>3740000</v>
      </c>
      <c r="AA37" s="68">
        <v>4414625</v>
      </c>
      <c r="AB37" s="69">
        <v>3740000</v>
      </c>
    </row>
    <row r="38" spans="1:28" ht="14.25" customHeight="1">
      <c r="A38" s="41">
        <f t="shared" si="1"/>
        <v>27</v>
      </c>
      <c r="C38" s="62"/>
      <c r="D38" s="62"/>
      <c r="E38" s="62"/>
      <c r="G38" s="62"/>
      <c r="H38" s="63"/>
      <c r="I38" s="62"/>
      <c r="J38" s="62"/>
      <c r="K38" s="62">
        <f t="shared" si="4"/>
        <v>0</v>
      </c>
      <c r="L38" s="56"/>
      <c r="M38" s="56"/>
      <c r="N38" s="56">
        <f t="shared" si="2"/>
        <v>0</v>
      </c>
      <c r="O38" s="45"/>
      <c r="P38" s="56">
        <v>0</v>
      </c>
      <c r="Q38" s="66"/>
      <c r="R38" s="66"/>
      <c r="S38" s="65">
        <f t="shared" si="7"/>
        <v>0</v>
      </c>
      <c r="T38" s="66">
        <f t="shared" si="5"/>
        <v>0</v>
      </c>
      <c r="U38" s="66">
        <f t="shared" si="6"/>
        <v>0</v>
      </c>
      <c r="V38" s="66">
        <f t="shared" si="3"/>
        <v>0</v>
      </c>
      <c r="W38" s="62"/>
      <c r="X38" s="48"/>
      <c r="Y38" s="47"/>
      <c r="Z38" s="60">
        <v>0</v>
      </c>
      <c r="AA38" s="88"/>
      <c r="AB38" s="69">
        <v>0</v>
      </c>
    </row>
    <row r="39" spans="1:28" ht="14.25" customHeight="1">
      <c r="A39" s="41" t="s">
        <v>96</v>
      </c>
      <c r="B39" s="18" t="s">
        <v>97</v>
      </c>
      <c r="C39" s="62"/>
      <c r="D39" s="62"/>
      <c r="E39" s="62"/>
      <c r="G39" s="62"/>
      <c r="H39" s="63"/>
      <c r="I39" s="62"/>
      <c r="J39" s="62"/>
      <c r="K39" s="62"/>
      <c r="L39" s="56"/>
      <c r="M39" s="56"/>
      <c r="N39" s="56">
        <f t="shared" si="2"/>
        <v>0</v>
      </c>
      <c r="O39" s="45"/>
      <c r="P39" s="56"/>
      <c r="Q39" s="66"/>
      <c r="R39" s="66"/>
      <c r="S39" s="65"/>
      <c r="T39" s="66"/>
      <c r="U39" s="66"/>
      <c r="V39" s="66">
        <f t="shared" si="3"/>
        <v>0</v>
      </c>
      <c r="W39" s="62"/>
      <c r="X39" s="48"/>
      <c r="Y39" s="47"/>
      <c r="Z39" s="60"/>
      <c r="AA39" s="68"/>
      <c r="AB39" s="69"/>
    </row>
    <row r="40" spans="1:28" ht="15" customHeight="1">
      <c r="A40" s="41" t="s">
        <v>98</v>
      </c>
      <c r="B40" s="18" t="s">
        <v>99</v>
      </c>
      <c r="C40" s="62">
        <v>0</v>
      </c>
      <c r="D40" s="62"/>
      <c r="E40" s="62">
        <f>629442-E15+1994720</f>
        <v>2488665</v>
      </c>
      <c r="G40" s="62"/>
      <c r="H40" s="63"/>
      <c r="I40" s="62"/>
      <c r="J40" s="62"/>
      <c r="K40" s="62">
        <f t="shared" si="4"/>
        <v>0</v>
      </c>
      <c r="L40" s="56"/>
      <c r="M40" s="56"/>
      <c r="N40" s="56">
        <f t="shared" si="2"/>
        <v>0</v>
      </c>
      <c r="O40" s="45" t="s">
        <v>100</v>
      </c>
      <c r="P40" s="56">
        <v>0</v>
      </c>
      <c r="Q40" s="66"/>
      <c r="R40" s="66"/>
      <c r="S40" s="65">
        <f t="shared" si="7"/>
        <v>0</v>
      </c>
      <c r="T40" s="66">
        <f t="shared" si="5"/>
        <v>0</v>
      </c>
      <c r="U40" s="66">
        <f t="shared" si="6"/>
        <v>0</v>
      </c>
      <c r="V40" s="66">
        <f t="shared" si="3"/>
        <v>0</v>
      </c>
      <c r="W40" s="62"/>
      <c r="X40" s="48"/>
      <c r="Y40" s="47"/>
      <c r="Z40" s="60">
        <v>0</v>
      </c>
      <c r="AA40" s="68"/>
      <c r="AB40" s="69">
        <v>0</v>
      </c>
    </row>
    <row r="41" spans="1:28" ht="15" customHeight="1">
      <c r="A41" s="41">
        <v>29</v>
      </c>
      <c r="B41" s="18" t="s">
        <v>101</v>
      </c>
      <c r="C41" s="62"/>
      <c r="D41" s="62">
        <v>300000</v>
      </c>
      <c r="E41" s="70"/>
      <c r="G41" s="70">
        <v>0</v>
      </c>
      <c r="H41" s="71"/>
      <c r="I41" s="62">
        <v>0</v>
      </c>
      <c r="J41" s="62">
        <v>100000</v>
      </c>
      <c r="K41" s="62">
        <f t="shared" si="4"/>
        <v>100000</v>
      </c>
      <c r="L41" s="56"/>
      <c r="M41" s="56">
        <v>100000</v>
      </c>
      <c r="N41" s="56">
        <f t="shared" si="2"/>
        <v>100000</v>
      </c>
      <c r="O41" s="45" t="s">
        <v>102</v>
      </c>
      <c r="P41" s="56">
        <v>100000</v>
      </c>
      <c r="Q41" s="66">
        <v>100000</v>
      </c>
      <c r="R41" s="66"/>
      <c r="S41" s="65">
        <v>100000</v>
      </c>
      <c r="T41" s="66">
        <f t="shared" si="5"/>
        <v>100000</v>
      </c>
      <c r="U41" s="66">
        <f t="shared" si="6"/>
        <v>200000</v>
      </c>
      <c r="V41" s="66">
        <f t="shared" si="3"/>
        <v>300000</v>
      </c>
      <c r="W41" s="62">
        <f>E41+G41+J41</f>
        <v>100000</v>
      </c>
      <c r="X41" s="48"/>
      <c r="Y41" s="47"/>
      <c r="Z41" s="60">
        <v>200000</v>
      </c>
      <c r="AA41" s="68">
        <v>300000</v>
      </c>
      <c r="AB41" s="69">
        <v>200000</v>
      </c>
    </row>
    <row r="42" spans="1:28" ht="26.65" customHeight="1">
      <c r="A42" s="41">
        <f>A41+1</f>
        <v>30</v>
      </c>
      <c r="B42" s="18" t="s">
        <v>103</v>
      </c>
      <c r="C42" s="62"/>
      <c r="D42" s="62">
        <v>400000</v>
      </c>
      <c r="E42" s="62"/>
      <c r="G42" s="62"/>
      <c r="H42" s="63" t="s">
        <v>104</v>
      </c>
      <c r="I42" s="62">
        <v>0</v>
      </c>
      <c r="J42" s="62"/>
      <c r="K42" s="62">
        <f t="shared" si="4"/>
        <v>0</v>
      </c>
      <c r="L42" s="56"/>
      <c r="M42" s="56"/>
      <c r="N42" s="56">
        <f t="shared" si="2"/>
        <v>0</v>
      </c>
      <c r="O42" s="45" t="s">
        <v>105</v>
      </c>
      <c r="P42" s="56">
        <v>0</v>
      </c>
      <c r="Q42" s="66">
        <v>400000</v>
      </c>
      <c r="R42" s="66"/>
      <c r="S42" s="65">
        <v>0</v>
      </c>
      <c r="T42" s="66">
        <f t="shared" si="5"/>
        <v>0</v>
      </c>
      <c r="U42" s="66">
        <f t="shared" si="6"/>
        <v>400000</v>
      </c>
      <c r="V42" s="66">
        <f t="shared" si="3"/>
        <v>400000</v>
      </c>
      <c r="W42" s="62">
        <f>E42+G42+J42</f>
        <v>0</v>
      </c>
      <c r="X42" s="48"/>
      <c r="Y42" s="47" t="s">
        <v>106</v>
      </c>
      <c r="Z42" s="60">
        <v>400000</v>
      </c>
      <c r="AA42" s="68">
        <v>400000</v>
      </c>
      <c r="AB42" s="69">
        <v>400000</v>
      </c>
    </row>
    <row r="43" spans="1:28" ht="15" customHeight="1">
      <c r="A43" s="41">
        <f>A42+1</f>
        <v>31</v>
      </c>
      <c r="B43" s="18" t="s">
        <v>107</v>
      </c>
      <c r="C43" s="89"/>
      <c r="D43" s="62">
        <v>395000</v>
      </c>
      <c r="E43" s="62">
        <v>132000</v>
      </c>
      <c r="G43" s="62">
        <v>132000</v>
      </c>
      <c r="H43" s="63"/>
      <c r="I43" s="62">
        <v>0</v>
      </c>
      <c r="J43" s="62">
        <v>132000</v>
      </c>
      <c r="K43" s="62">
        <f t="shared" si="4"/>
        <v>132000</v>
      </c>
      <c r="L43" s="56"/>
      <c r="M43" s="56">
        <v>132000</v>
      </c>
      <c r="N43" s="56">
        <f t="shared" si="2"/>
        <v>132000</v>
      </c>
      <c r="O43" s="52" t="s">
        <v>108</v>
      </c>
      <c r="P43" s="56">
        <v>132000</v>
      </c>
      <c r="Q43" s="66">
        <v>130000</v>
      </c>
      <c r="R43" s="66"/>
      <c r="S43" s="65">
        <v>130000</v>
      </c>
      <c r="T43" s="66">
        <f t="shared" si="5"/>
        <v>130000</v>
      </c>
      <c r="U43" s="66">
        <f t="shared" si="6"/>
        <v>260000</v>
      </c>
      <c r="V43" s="66">
        <f t="shared" si="3"/>
        <v>392000</v>
      </c>
      <c r="W43" s="62">
        <f>E43+G43+J43</f>
        <v>396000</v>
      </c>
      <c r="X43" s="48"/>
      <c r="Y43" s="47"/>
      <c r="Z43" s="60">
        <v>260000</v>
      </c>
      <c r="AA43" s="68">
        <v>396000</v>
      </c>
      <c r="AB43" s="69">
        <v>260000</v>
      </c>
    </row>
    <row r="44" spans="1:28" s="101" customFormat="1" ht="20.2" customHeight="1">
      <c r="A44" s="90">
        <f t="shared" si="1"/>
        <v>32</v>
      </c>
      <c r="B44" s="91" t="s">
        <v>109</v>
      </c>
      <c r="C44" s="92">
        <f>C37+SUM(C9:C25)+C40</f>
        <v>125083184.27789399</v>
      </c>
      <c r="D44" s="92">
        <f>SUM(D9:D43)-D37</f>
        <v>133859718.17850512</v>
      </c>
      <c r="E44" s="92">
        <f>SUM(E9:E25)+SUM(E37:E43)</f>
        <v>43940173</v>
      </c>
      <c r="F44" s="92">
        <f>SUM(F9:F43)-F37</f>
        <v>44929216.547767177</v>
      </c>
      <c r="G44" s="92">
        <f>SUM(G9:G43)-G37</f>
        <v>44950782.407767177</v>
      </c>
      <c r="H44" s="92">
        <f>SUM(H9:H43)-H37</f>
        <v>0</v>
      </c>
      <c r="I44" s="92">
        <v>1352530</v>
      </c>
      <c r="J44" s="92">
        <v>44513621.144673489</v>
      </c>
      <c r="K44" s="92">
        <f t="shared" ref="K44:N44" si="11">SUM(K9:K43)-K37</f>
        <v>45896151.144673489</v>
      </c>
      <c r="L44" s="93">
        <f t="shared" si="11"/>
        <v>1352530</v>
      </c>
      <c r="M44" s="93">
        <f t="shared" si="11"/>
        <v>51022291.048050478</v>
      </c>
      <c r="N44" s="93">
        <f t="shared" si="11"/>
        <v>52374821.048050478</v>
      </c>
      <c r="O44" s="94"/>
      <c r="P44" s="93">
        <f>N44</f>
        <v>52374821.048050478</v>
      </c>
      <c r="Q44" s="95">
        <f>SUM(Q9:Q43)-Q37</f>
        <v>49129035.14542307</v>
      </c>
      <c r="R44" s="95">
        <f>SUM(R9:R43)-R37</f>
        <v>1500000</v>
      </c>
      <c r="S44" s="95">
        <f>SUM(S9:S43)-S37</f>
        <v>50093116.147534847</v>
      </c>
      <c r="T44" s="95">
        <f>SUM(T9:T43)-T37</f>
        <v>51593116.147534847</v>
      </c>
      <c r="U44" s="95">
        <f>SUM(U9:U43)-U37</f>
        <v>100722151.29295793</v>
      </c>
      <c r="V44" s="95">
        <f t="shared" si="3"/>
        <v>153096972.34100842</v>
      </c>
      <c r="W44" s="92">
        <f>SUM(W9:W43)-W37</f>
        <v>135520024.20913264</v>
      </c>
      <c r="X44" s="96"/>
      <c r="Y44" s="97"/>
      <c r="Z44" s="98">
        <v>100645151.29295793</v>
      </c>
      <c r="AA44" s="99">
        <v>134939320.76333103</v>
      </c>
      <c r="AB44" s="100">
        <v>101645151.29295793</v>
      </c>
    </row>
    <row r="45" spans="1:28">
      <c r="C45" s="62"/>
      <c r="D45" s="42"/>
      <c r="E45" s="42"/>
      <c r="F45" s="42"/>
      <c r="G45" s="42"/>
      <c r="H45" s="102"/>
      <c r="I45" s="42"/>
      <c r="J45" s="42"/>
      <c r="K45" s="42"/>
      <c r="L45" s="44"/>
      <c r="M45" s="44"/>
      <c r="N45" s="44"/>
      <c r="O45" s="44"/>
      <c r="P45" s="46"/>
      <c r="Q45" s="80"/>
      <c r="R45" s="47"/>
      <c r="S45" s="47"/>
      <c r="T45" s="47"/>
      <c r="U45" s="47"/>
      <c r="V45" s="47"/>
      <c r="W45" s="42"/>
      <c r="X45" s="48"/>
      <c r="Y45" s="47"/>
      <c r="Z45" s="24"/>
      <c r="AA45" s="103"/>
      <c r="AB45" s="50"/>
    </row>
    <row r="46" spans="1:28" ht="14.65" hidden="1" thickBot="1">
      <c r="A46" s="104"/>
      <c r="B46" s="105"/>
      <c r="C46" s="106"/>
      <c r="D46" s="107"/>
      <c r="E46" s="107"/>
      <c r="F46" s="107"/>
      <c r="G46" s="107"/>
      <c r="H46" s="108"/>
      <c r="I46" s="107"/>
      <c r="J46" s="107"/>
      <c r="K46" s="107">
        <f>SUM(K37:K45)</f>
        <v>48501379.478006825</v>
      </c>
      <c r="L46" s="109"/>
      <c r="M46" s="109"/>
      <c r="N46" s="109"/>
      <c r="O46" s="109"/>
      <c r="P46" s="110"/>
      <c r="Q46" s="111"/>
      <c r="R46" s="47"/>
      <c r="S46" s="47"/>
      <c r="T46" s="47"/>
      <c r="U46" s="47"/>
      <c r="V46" s="47"/>
      <c r="W46" s="107">
        <f>SUM(W37:W45)</f>
        <v>140330661.54246598</v>
      </c>
      <c r="X46" s="48"/>
      <c r="Y46" s="47"/>
      <c r="Z46" s="112"/>
      <c r="AA46" s="49"/>
      <c r="AB46" s="50"/>
    </row>
    <row r="47" spans="1:28" s="126" customFormat="1" ht="142.15" hidden="1" thickBot="1">
      <c r="A47" s="113" t="s">
        <v>110</v>
      </c>
      <c r="B47" s="114" t="s">
        <v>6</v>
      </c>
      <c r="C47" s="115" t="s">
        <v>111</v>
      </c>
      <c r="D47" s="116" t="s">
        <v>8</v>
      </c>
      <c r="E47" s="117"/>
      <c r="F47" s="38"/>
      <c r="G47" s="38"/>
      <c r="H47" s="118"/>
      <c r="I47" s="119" t="s">
        <v>112</v>
      </c>
      <c r="J47" s="119"/>
      <c r="K47" s="119"/>
      <c r="L47" s="29"/>
      <c r="M47" s="29"/>
      <c r="N47" s="29"/>
      <c r="O47" s="29" t="s">
        <v>113</v>
      </c>
      <c r="P47" s="120"/>
      <c r="Q47" s="121" t="s">
        <v>114</v>
      </c>
      <c r="R47" s="122"/>
      <c r="S47" s="122"/>
      <c r="T47" s="122"/>
      <c r="U47" s="122"/>
      <c r="V47" s="122"/>
      <c r="W47" s="119"/>
      <c r="X47" s="123"/>
      <c r="Y47" s="122"/>
      <c r="Z47" s="124"/>
      <c r="AA47" s="49"/>
      <c r="AB47" s="125"/>
    </row>
    <row r="48" spans="1:28">
      <c r="A48" s="41">
        <v>34</v>
      </c>
      <c r="B48" s="51" t="s">
        <v>115</v>
      </c>
      <c r="C48" s="127"/>
      <c r="D48" s="128"/>
      <c r="E48" s="128"/>
      <c r="F48" s="128"/>
      <c r="G48" s="128"/>
      <c r="H48" s="129"/>
      <c r="I48" s="128"/>
      <c r="J48" s="128"/>
      <c r="K48" s="128"/>
      <c r="L48" s="130"/>
      <c r="M48" s="130"/>
      <c r="N48" s="130"/>
      <c r="O48" s="130"/>
      <c r="P48" s="131"/>
      <c r="Q48" s="132"/>
      <c r="R48" s="47"/>
      <c r="S48" s="47"/>
      <c r="T48" s="47"/>
      <c r="U48" s="47"/>
      <c r="V48" s="47"/>
      <c r="W48" s="128"/>
      <c r="X48" s="48"/>
      <c r="Y48" s="47"/>
      <c r="Z48" s="133"/>
      <c r="AA48" s="134"/>
      <c r="AB48" s="50"/>
    </row>
    <row r="49" spans="1:28">
      <c r="D49" s="42"/>
      <c r="E49" s="42"/>
      <c r="F49" s="42"/>
      <c r="G49" s="42"/>
      <c r="H49" s="102"/>
      <c r="I49" s="42"/>
      <c r="J49" s="42"/>
      <c r="K49" s="42"/>
      <c r="L49" s="44"/>
      <c r="M49" s="44"/>
      <c r="N49" s="44"/>
      <c r="O49" s="44"/>
      <c r="P49" s="46"/>
      <c r="Q49" s="80"/>
      <c r="R49" s="47"/>
      <c r="S49" s="47"/>
      <c r="T49" s="47"/>
      <c r="U49" s="47"/>
      <c r="V49" s="47"/>
      <c r="W49" s="42"/>
      <c r="X49" s="48"/>
      <c r="Y49" s="47"/>
      <c r="Z49" s="24"/>
      <c r="AA49" s="135"/>
      <c r="AB49" s="50"/>
    </row>
    <row r="50" spans="1:28">
      <c r="A50" s="41" t="s">
        <v>116</v>
      </c>
      <c r="B50" s="18" t="s">
        <v>117</v>
      </c>
      <c r="C50" s="62">
        <f>EVANGELISM!C32</f>
        <v>5973225.8343540002</v>
      </c>
      <c r="D50" s="62">
        <f>EVANGELISM!D32</f>
        <v>5241773.3150487673</v>
      </c>
      <c r="E50" s="62">
        <f>EVANGELISM!E32</f>
        <v>1766017</v>
      </c>
      <c r="F50" s="62">
        <f>EVANGELISM!F32</f>
        <v>1831505.5602647681</v>
      </c>
      <c r="G50" s="62">
        <f>EVANGELISM!G32</f>
        <v>1778504.5602647681</v>
      </c>
      <c r="H50" s="63"/>
      <c r="I50" s="62">
        <f>EVANGELISM!I32</f>
        <v>36000</v>
      </c>
      <c r="J50" s="62">
        <f>EVANGELISM!J32</f>
        <v>1578126</v>
      </c>
      <c r="K50" s="62">
        <f>EVANGELISM!K32</f>
        <v>1614126</v>
      </c>
      <c r="L50" s="56">
        <f>EVANGELISM!L32</f>
        <v>36000</v>
      </c>
      <c r="M50" s="56">
        <f>EVANGELISM!M32</f>
        <v>1970672.355973593</v>
      </c>
      <c r="N50" s="56">
        <f>EVANGELISM!N32</f>
        <v>2006672.355973593</v>
      </c>
      <c r="O50" s="56"/>
      <c r="P50" s="56">
        <f t="shared" ref="P50:P59" si="12">N50</f>
        <v>2006672.355973593</v>
      </c>
      <c r="Q50" s="136">
        <f>EVANGELISM!Q32</f>
        <v>1698932.7796490774</v>
      </c>
      <c r="R50" s="136">
        <f>EVANGELISM!R32</f>
        <v>37000</v>
      </c>
      <c r="S50" s="136">
        <f>EVANGELISM!S32</f>
        <v>1718113.2610663082</v>
      </c>
      <c r="T50" s="136">
        <f>EVANGELISM!T32</f>
        <v>1755113.2610663082</v>
      </c>
      <c r="U50" s="66">
        <f t="shared" ref="U50:U61" si="13">Q50+T50</f>
        <v>3454046.0407153857</v>
      </c>
      <c r="V50" s="66">
        <f t="shared" ref="V50:V62" si="14">U50+P50</f>
        <v>5460718.3966889791</v>
      </c>
      <c r="W50" s="62">
        <f>EVANGELISM!W32</f>
        <v>5158647.5602647681</v>
      </c>
      <c r="X50" s="48"/>
      <c r="Y50" s="47"/>
      <c r="Z50" s="60">
        <v>3748046.0407153857</v>
      </c>
      <c r="AA50" s="68">
        <v>5297521.0635625366</v>
      </c>
      <c r="AB50" s="69">
        <v>4123046.0407153857</v>
      </c>
    </row>
    <row r="51" spans="1:28">
      <c r="A51" s="41" t="s">
        <v>118</v>
      </c>
      <c r="B51" s="18" t="s">
        <v>119</v>
      </c>
      <c r="C51" s="62">
        <f>'REC &amp; JUST'!C122</f>
        <v>9464925.0699986722</v>
      </c>
      <c r="D51" s="62">
        <f>'REC &amp; JUST'!D122</f>
        <v>10399057.895112257</v>
      </c>
      <c r="E51" s="62">
        <f>'REC &amp; JUST'!E122</f>
        <v>3969193</v>
      </c>
      <c r="F51" s="62">
        <f>'REC &amp; JUST'!G122</f>
        <v>2872956.7922002459</v>
      </c>
      <c r="G51" s="62">
        <f>'REC &amp; JUST'!G122</f>
        <v>2872956.7922002459</v>
      </c>
      <c r="H51" s="63"/>
      <c r="I51" s="62">
        <f>'REC &amp; JUST'!I122</f>
        <v>192152</v>
      </c>
      <c r="J51" s="62">
        <f>'REC &amp; JUST'!J122</f>
        <v>2791886.8176762233</v>
      </c>
      <c r="K51" s="62">
        <f>'REC &amp; JUST'!K122</f>
        <v>2984038.8176762233</v>
      </c>
      <c r="L51" s="56">
        <f>'REC &amp; JUST'!L122</f>
        <v>192152</v>
      </c>
      <c r="M51" s="56">
        <f>'REC &amp; JUST'!M122</f>
        <v>3592832.5008139061</v>
      </c>
      <c r="N51" s="56">
        <f>'REC &amp; JUST'!N122</f>
        <v>3784984.5008139061</v>
      </c>
      <c r="O51" s="56"/>
      <c r="P51" s="56">
        <f t="shared" si="12"/>
        <v>3784984.5008139061</v>
      </c>
      <c r="Q51" s="137">
        <f>'REC &amp; JUST'!Q122</f>
        <v>3516362.9410382602</v>
      </c>
      <c r="R51" s="137">
        <f>'REC &amp; JUST'!R122</f>
        <v>158000</v>
      </c>
      <c r="S51" s="137">
        <f>'REC &amp; JUST'!S122</f>
        <v>3530706.2683463483</v>
      </c>
      <c r="T51" s="137">
        <f>'REC &amp; JUST'!T122</f>
        <v>3688706.2683463483</v>
      </c>
      <c r="U51" s="66">
        <f t="shared" si="13"/>
        <v>7205069.209384609</v>
      </c>
      <c r="V51" s="66">
        <f t="shared" si="14"/>
        <v>10990053.710198514</v>
      </c>
      <c r="W51" s="62">
        <f>'REC &amp; JUST'!W122</f>
        <v>9826188.6098764688</v>
      </c>
      <c r="X51" s="48"/>
      <c r="Y51" s="47"/>
      <c r="Z51" s="60">
        <v>7348069.209384609</v>
      </c>
      <c r="AA51" s="68">
        <v>10534305.031816602</v>
      </c>
      <c r="AB51" s="69">
        <v>9911069.209384609</v>
      </c>
    </row>
    <row r="52" spans="1:28">
      <c r="A52" s="41" t="s">
        <v>120</v>
      </c>
      <c r="B52" s="18" t="s">
        <v>121</v>
      </c>
      <c r="C52" s="62">
        <f>'CREATION CARE'!C20</f>
        <v>650000</v>
      </c>
      <c r="D52" s="62">
        <f>'CREATION CARE'!D20</f>
        <v>1000000.2188355334</v>
      </c>
      <c r="E52" s="62">
        <f>'CREATION CARE'!D20</f>
        <v>1000000.2188355334</v>
      </c>
      <c r="F52" s="62">
        <f>'CREATION CARE'!F20</f>
        <v>364398.2084</v>
      </c>
      <c r="G52" s="62">
        <f>'CREATION CARE'!G20</f>
        <v>314398.2084</v>
      </c>
      <c r="H52" s="63"/>
      <c r="I52" s="62">
        <f>'CREATION CARE'!I20</f>
        <v>20000</v>
      </c>
      <c r="J52" s="62">
        <f>'CREATION CARE'!J20</f>
        <v>322397.831572</v>
      </c>
      <c r="K52" s="62">
        <f>'CREATION CARE'!K20</f>
        <v>342397.831572</v>
      </c>
      <c r="L52" s="56">
        <f>'CREATION CARE'!L20</f>
        <v>12000</v>
      </c>
      <c r="M52" s="56">
        <f>'CREATION CARE'!M20</f>
        <v>347872.72784340003</v>
      </c>
      <c r="N52" s="56">
        <f>'CREATION CARE'!N20</f>
        <v>359872.72784340003</v>
      </c>
      <c r="O52" s="56"/>
      <c r="P52" s="56">
        <f t="shared" si="12"/>
        <v>359872.72784340003</v>
      </c>
      <c r="Q52" s="136">
        <f>'CREATION CARE'!Q20</f>
        <v>358643.96331835003</v>
      </c>
      <c r="R52" s="136">
        <f>'CREATION CARE'!R20</f>
        <v>20000</v>
      </c>
      <c r="S52" s="136">
        <f>'CREATION CARE'!S20</f>
        <v>361564.11651859363</v>
      </c>
      <c r="T52" s="136">
        <f>'CREATION CARE'!T20</f>
        <v>381564.11651859363</v>
      </c>
      <c r="U52" s="66">
        <f t="shared" si="13"/>
        <v>740208.07983694365</v>
      </c>
      <c r="V52" s="66">
        <f t="shared" si="14"/>
        <v>1100080.8076803437</v>
      </c>
      <c r="W52" s="62">
        <f>'CREATION CARE'!W20</f>
        <v>871582.03997200006</v>
      </c>
      <c r="X52" s="48"/>
      <c r="Y52" s="47"/>
      <c r="Z52" s="60">
        <v>810208.07983694365</v>
      </c>
      <c r="AA52" s="68">
        <v>1000000.2188355334</v>
      </c>
      <c r="AB52" s="69">
        <v>810208.07983694365</v>
      </c>
    </row>
    <row r="53" spans="1:28" ht="15" customHeight="1">
      <c r="A53" s="41" t="s">
        <v>122</v>
      </c>
      <c r="B53" s="18" t="s">
        <v>123</v>
      </c>
      <c r="C53" s="62">
        <f>'PB Ministry'!C58</f>
        <v>8578824.9583546575</v>
      </c>
      <c r="D53" s="62">
        <f>'PB Ministry'!D58</f>
        <v>13006051.030699112</v>
      </c>
      <c r="E53" s="62">
        <f>'PB Ministry'!D58</f>
        <v>13006051.030699112</v>
      </c>
      <c r="F53" s="62">
        <f>'PB Ministry'!F58</f>
        <v>4378789.0459537255</v>
      </c>
      <c r="G53" s="62">
        <f>'PB Ministry'!G58</f>
        <v>4098622.0459537255</v>
      </c>
      <c r="H53" s="63"/>
      <c r="I53" s="62">
        <f>'PB Ministry'!I58</f>
        <v>50500</v>
      </c>
      <c r="J53" s="62">
        <f>'PB Ministry'!J58</f>
        <v>4474549.488196278</v>
      </c>
      <c r="K53" s="62">
        <f>'PB Ministry'!K58</f>
        <v>4525049.488196278</v>
      </c>
      <c r="L53" s="56">
        <f>'PB Ministry'!L58</f>
        <v>50500</v>
      </c>
      <c r="M53" s="56">
        <f>'PB Ministry'!M58</f>
        <v>4754489.3520540502</v>
      </c>
      <c r="N53" s="56">
        <f>'PB Ministry'!N58</f>
        <v>4804989.3520540502</v>
      </c>
      <c r="O53" s="56"/>
      <c r="P53" s="56">
        <f t="shared" si="12"/>
        <v>4804989.3520540502</v>
      </c>
      <c r="Q53" s="136">
        <f>'PB Ministry'!Q58</f>
        <v>4890484.563547492</v>
      </c>
      <c r="R53" s="136">
        <f>'PB Ministry'!R58</f>
        <v>121500</v>
      </c>
      <c r="S53" s="136">
        <f>'PB Ministry'!S58</f>
        <v>4893930.7477459647</v>
      </c>
      <c r="T53" s="136">
        <f>'PB Ministry'!T58</f>
        <v>5015430.7477459647</v>
      </c>
      <c r="U53" s="66">
        <f t="shared" si="13"/>
        <v>9905915.3112934567</v>
      </c>
      <c r="V53" s="66">
        <f t="shared" si="14"/>
        <v>14710904.663347507</v>
      </c>
      <c r="W53" s="62">
        <f>'PB Ministry'!W58</f>
        <v>13189299.534150003</v>
      </c>
      <c r="X53" s="48"/>
      <c r="Y53" s="47"/>
      <c r="Z53" s="60">
        <v>9847588.216102194</v>
      </c>
      <c r="AA53" s="68">
        <v>13152662.639249921</v>
      </c>
      <c r="AB53" s="69">
        <v>9932588.216102194</v>
      </c>
    </row>
    <row r="54" spans="1:28" ht="15" customHeight="1">
      <c r="A54" s="41" t="s">
        <v>124</v>
      </c>
      <c r="B54" s="18" t="s">
        <v>125</v>
      </c>
      <c r="C54" s="62">
        <f>'MISSION WITHIN'!C208</f>
        <v>28312349.392552875</v>
      </c>
      <c r="D54" s="62">
        <f>'MISSION WITHIN'!D208</f>
        <v>28260385.437019452</v>
      </c>
      <c r="E54" s="62">
        <f>'MISSION WITHIN'!E208</f>
        <v>9137496</v>
      </c>
      <c r="F54" s="62">
        <f>'MISSION WITHIN'!G208</f>
        <v>9154385.4450039901</v>
      </c>
      <c r="G54" s="62">
        <f>'MISSION WITHIN'!G208</f>
        <v>9154385.4450039901</v>
      </c>
      <c r="H54" s="63"/>
      <c r="I54" s="62">
        <f>'MISSION WITHIN'!I208</f>
        <v>671808</v>
      </c>
      <c r="J54" s="62">
        <f>'MISSION WITHIN'!J208</f>
        <v>8712517.4524449483</v>
      </c>
      <c r="K54" s="62">
        <f>'MISSION WITHIN'!K208</f>
        <v>9645537.4524449483</v>
      </c>
      <c r="L54" s="56">
        <f>'MISSION WITHIN'!L208</f>
        <v>586808</v>
      </c>
      <c r="M54" s="56">
        <f>'MISSION WITHIN'!M208</f>
        <v>9674930.3120432775</v>
      </c>
      <c r="N54" s="56">
        <f>'MISSION WITHIN'!N208</f>
        <v>10256738.312043278</v>
      </c>
      <c r="O54" s="56"/>
      <c r="P54" s="56">
        <f t="shared" si="12"/>
        <v>10256738.312043278</v>
      </c>
      <c r="Q54" s="136">
        <f>'MISSION WITHIN'!Q208</f>
        <v>10306640.639355242</v>
      </c>
      <c r="R54" s="136">
        <f>'MISSION WITHIN'!R208</f>
        <v>375000</v>
      </c>
      <c r="S54" s="136">
        <f>'MISSION WITHIN'!S208</f>
        <v>9337913.3640523199</v>
      </c>
      <c r="T54" s="136">
        <f>'MISSION WITHIN'!T208</f>
        <v>9692938.3640523199</v>
      </c>
      <c r="U54" s="66">
        <f t="shared" si="13"/>
        <v>19999579.00340756</v>
      </c>
      <c r="V54" s="66">
        <f t="shared" si="14"/>
        <v>30256317.31545084</v>
      </c>
      <c r="W54" s="62">
        <f>'MISSION WITHIN'!W208</f>
        <v>27937418.897448938</v>
      </c>
      <c r="X54" s="48"/>
      <c r="Y54" s="47"/>
      <c r="Z54" s="60">
        <v>20480775.310927562</v>
      </c>
      <c r="AA54" s="68">
        <v>27818619.417102873</v>
      </c>
      <c r="AB54" s="69">
        <v>20856621.157384682</v>
      </c>
    </row>
    <row r="55" spans="1:28" ht="15" customHeight="1">
      <c r="A55" s="41" t="s">
        <v>126</v>
      </c>
      <c r="B55" s="18" t="s">
        <v>127</v>
      </c>
      <c r="C55" s="62">
        <f>'MISSION BEYOND'!C113</f>
        <v>17246523.128209531</v>
      </c>
      <c r="D55" s="62">
        <f>'MISSION BEYOND'!D113</f>
        <v>16885196.778206419</v>
      </c>
      <c r="E55" s="62">
        <f>'MISSION BEYOND'!E113</f>
        <v>5196559.666666666</v>
      </c>
      <c r="F55" s="62">
        <f>'MISSION BEYOND'!G113</f>
        <v>5050462.0747487349</v>
      </c>
      <c r="G55" s="62">
        <f>'MISSION BEYOND'!G113</f>
        <v>5050462.0747487349</v>
      </c>
      <c r="H55" s="63"/>
      <c r="I55" s="62">
        <f>'MISSION BEYOND'!I113</f>
        <v>91614</v>
      </c>
      <c r="J55" s="62">
        <f>'MISSION BEYOND'!J113</f>
        <v>5683318.6238934696</v>
      </c>
      <c r="K55" s="62">
        <f>'MISSION BEYOND'!K113</f>
        <v>5774932.6238934696</v>
      </c>
      <c r="L55" s="56">
        <f>'MISSION BEYOND'!L113</f>
        <v>91614</v>
      </c>
      <c r="M55" s="56">
        <f>'MISSION BEYOND'!M113</f>
        <v>6199833.0028398</v>
      </c>
      <c r="N55" s="56">
        <f>'MISSION BEYOND'!N113</f>
        <v>6291447.0028398</v>
      </c>
      <c r="O55" s="56"/>
      <c r="P55" s="56">
        <f t="shared" si="12"/>
        <v>6291447.0028398</v>
      </c>
      <c r="Q55" s="136">
        <f>'MISSION BEYOND'!Q113</f>
        <v>5995846.2829217138</v>
      </c>
      <c r="R55" s="136">
        <f>'MISSION BEYOND'!R113</f>
        <v>77500</v>
      </c>
      <c r="S55" s="136">
        <f>'MISSION BEYOND'!S113</f>
        <v>6094105.8321297169</v>
      </c>
      <c r="T55" s="136">
        <f>'MISSION BEYOND'!T113</f>
        <v>6175605.8321297169</v>
      </c>
      <c r="U55" s="66">
        <f t="shared" si="13"/>
        <v>12171452.11505143</v>
      </c>
      <c r="V55" s="66">
        <f t="shared" si="14"/>
        <v>18462899.11789123</v>
      </c>
      <c r="W55" s="62">
        <f>'MISSION BEYOND'!W113</f>
        <v>16021954.36530887</v>
      </c>
      <c r="X55" s="48"/>
      <c r="Y55" s="47"/>
      <c r="Z55" s="60">
        <v>12550962.11505143</v>
      </c>
      <c r="AA55" s="68">
        <v>17910153.875633523</v>
      </c>
      <c r="AB55" s="69">
        <v>12716962.11505143</v>
      </c>
    </row>
    <row r="56" spans="1:28" ht="15" customHeight="1">
      <c r="A56" s="41" t="s">
        <v>128</v>
      </c>
      <c r="B56" s="18" t="s">
        <v>129</v>
      </c>
      <c r="C56" s="62">
        <f>Governance!C63</f>
        <v>13848606.371049905</v>
      </c>
      <c r="D56" s="62">
        <f>Governance!D63</f>
        <v>18775647.944265053</v>
      </c>
      <c r="E56" s="62">
        <f>Governance!E63</f>
        <v>4796671</v>
      </c>
      <c r="F56" s="62">
        <f>Governance!G63</f>
        <v>6140546.0793417413</v>
      </c>
      <c r="G56" s="62">
        <f>Governance!G63</f>
        <v>6140546.0793417413</v>
      </c>
      <c r="H56" s="63"/>
      <c r="I56" s="62">
        <f>Governance!I63</f>
        <v>2629933</v>
      </c>
      <c r="J56" s="62">
        <f>Governance!J63</f>
        <v>5246034.8268409492</v>
      </c>
      <c r="K56" s="62">
        <f>Governance!K63</f>
        <v>7875967.8268409492</v>
      </c>
      <c r="L56" s="56">
        <f>Governance!L63</f>
        <v>3178433</v>
      </c>
      <c r="M56" s="56">
        <f>Governance!M63</f>
        <v>6253290.6385645587</v>
      </c>
      <c r="N56" s="56">
        <f>Governance!N63</f>
        <v>9481723.6385645587</v>
      </c>
      <c r="O56" s="56"/>
      <c r="P56" s="56">
        <f t="shared" si="12"/>
        <v>9481723.6385645587</v>
      </c>
      <c r="Q56" s="136">
        <f>Governance!Q63</f>
        <v>6626499.8993111765</v>
      </c>
      <c r="R56" s="136">
        <f>Governance!R63</f>
        <v>2253000</v>
      </c>
      <c r="S56" s="136">
        <f>Governance!S63</f>
        <v>6831205.0981189189</v>
      </c>
      <c r="T56" s="136">
        <f>Governance!T63</f>
        <v>9084205.0981189199</v>
      </c>
      <c r="U56" s="66">
        <f t="shared" si="13"/>
        <v>15710704.997430097</v>
      </c>
      <c r="V56" s="66">
        <f t="shared" si="14"/>
        <v>25192428.635994658</v>
      </c>
      <c r="W56" s="62">
        <f>Governance!W63</f>
        <v>18813184.906182691</v>
      </c>
      <c r="X56" s="48"/>
      <c r="Y56" s="47"/>
      <c r="Z56" s="60">
        <v>16227868.042236209</v>
      </c>
      <c r="AA56" s="68">
        <v>19104550.656032063</v>
      </c>
      <c r="AB56" s="69">
        <v>16429068.042236209</v>
      </c>
    </row>
    <row r="57" spans="1:28" ht="15" customHeight="1">
      <c r="A57" s="41" t="s">
        <v>130</v>
      </c>
      <c r="B57" s="18" t="s">
        <v>131</v>
      </c>
      <c r="C57" s="62">
        <f>'Fin Legal Oper'!C53+'Fin Legal Oper'!C23</f>
        <v>19238641.845409423</v>
      </c>
      <c r="D57" s="62">
        <f>'Fin Legal Oper'!D23+'Fin Legal Oper'!D53</f>
        <v>19320519.829341367</v>
      </c>
      <c r="E57" s="62">
        <f>'Fin Legal Oper'!E23+'Fin Legal Oper'!E53</f>
        <v>5795569</v>
      </c>
      <c r="F57" s="62">
        <f>'Fin Legal Oper'!G23+'Fin Legal Oper'!G53</f>
        <v>6416215.1962623494</v>
      </c>
      <c r="G57" s="62">
        <f>'Fin Legal Oper'!G23+'Fin Legal Oper'!G53</f>
        <v>6416215.1962623494</v>
      </c>
      <c r="H57" s="63"/>
      <c r="I57" s="62">
        <f>'Fin Legal Oper'!I23+'Fin Legal Oper'!I53</f>
        <v>40000</v>
      </c>
      <c r="J57" s="62">
        <f>'Fin Legal Oper'!J23+'Fin Legal Oper'!J53</f>
        <v>6752831.1774830353</v>
      </c>
      <c r="K57" s="62">
        <f>'Fin Legal Oper'!K23+'Fin Legal Oper'!K53</f>
        <v>6766831.1774830353</v>
      </c>
      <c r="L57" s="56">
        <f>'Fin Legal Oper'!L23+'Fin Legal Oper'!L53</f>
        <v>42000</v>
      </c>
      <c r="M57" s="56">
        <f>'Fin Legal Oper'!M23+'Fin Legal Oper'!M53</f>
        <v>6694859.7982580075</v>
      </c>
      <c r="N57" s="56">
        <f>'Fin Legal Oper'!N23+'Fin Legal Oper'!N53</f>
        <v>6736859.7982580075</v>
      </c>
      <c r="O57" s="56"/>
      <c r="P57" s="56">
        <f t="shared" si="12"/>
        <v>6736859.7982580075</v>
      </c>
      <c r="Q57" s="136">
        <f>'Fin Legal Oper'!Q23+'Fin Legal Oper'!Q53</f>
        <v>6690428.2656614222</v>
      </c>
      <c r="R57" s="136">
        <f>'Fin Legal Oper'!R23+'Fin Legal Oper'!R53</f>
        <v>42000</v>
      </c>
      <c r="S57" s="136">
        <f>'Fin Legal Oper'!S23+'Fin Legal Oper'!S53</f>
        <v>6784853.1843533255</v>
      </c>
      <c r="T57" s="136">
        <f>'Fin Legal Oper'!T23+'Fin Legal Oper'!T53</f>
        <v>6826853.1843533255</v>
      </c>
      <c r="U57" s="66">
        <f t="shared" si="13"/>
        <v>13517281.450014748</v>
      </c>
      <c r="V57" s="66">
        <f t="shared" si="14"/>
        <v>20254141.248272754</v>
      </c>
      <c r="W57" s="62">
        <f>'Fin Legal Oper'!W23+'Fin Legal Oper'!W53</f>
        <v>18978615.373745386</v>
      </c>
      <c r="X57" s="48"/>
      <c r="Y57" s="47"/>
      <c r="Z57" s="60">
        <f>'Fin Legal Oper'!Z23+'Fin Legal Oper'!Z53</f>
        <v>13542281.450014748</v>
      </c>
      <c r="AA57" s="68">
        <v>19032176.896399941</v>
      </c>
      <c r="AB57" s="69">
        <v>13606281.450014748</v>
      </c>
    </row>
    <row r="58" spans="1:28" ht="15" customHeight="1">
      <c r="A58" s="41" t="s">
        <v>132</v>
      </c>
      <c r="B58" s="18" t="s">
        <v>133</v>
      </c>
      <c r="C58" s="62">
        <f>'Fin Legal Oper'!C67</f>
        <v>3564976.6150079602</v>
      </c>
      <c r="D58" s="62">
        <f>'Fin Legal Oper'!D67</f>
        <v>3619789.374855428</v>
      </c>
      <c r="E58" s="62">
        <f>'Fin Legal Oper'!E67</f>
        <v>1470993</v>
      </c>
      <c r="F58" s="62">
        <f>'Fin Legal Oper'!G67</f>
        <v>1272070</v>
      </c>
      <c r="G58" s="62">
        <f>'Fin Legal Oper'!G67</f>
        <v>1272070</v>
      </c>
      <c r="H58" s="63"/>
      <c r="I58" s="62">
        <f>'Fin Legal Oper'!I67</f>
        <v>6000</v>
      </c>
      <c r="J58" s="62">
        <f>'Fin Legal Oper'!J67</f>
        <v>1395916.2667560168</v>
      </c>
      <c r="K58" s="62">
        <f>'Fin Legal Oper'!K67</f>
        <v>1395916.2667560168</v>
      </c>
      <c r="L58" s="56">
        <f>'Fin Legal Oper'!L67</f>
        <v>6000</v>
      </c>
      <c r="M58" s="56">
        <f>'Fin Legal Oper'!M67</f>
        <v>1678332.5918392171</v>
      </c>
      <c r="N58" s="56">
        <f>'Fin Legal Oper'!N67</f>
        <v>1684332.5918392171</v>
      </c>
      <c r="O58" s="56"/>
      <c r="P58" s="56">
        <f t="shared" si="12"/>
        <v>1684332.5918392171</v>
      </c>
      <c r="Q58" s="136">
        <f>'Fin Legal Oper'!Q67</f>
        <v>1698269.7487093499</v>
      </c>
      <c r="R58" s="136">
        <f>'Fin Legal Oper'!R67</f>
        <v>6500</v>
      </c>
      <c r="S58" s="136">
        <f>'Fin Legal Oper'!S67</f>
        <v>1750332.0913162166</v>
      </c>
      <c r="T58" s="136">
        <f>'Fin Legal Oper'!T67</f>
        <v>1756832.0913162166</v>
      </c>
      <c r="U58" s="66">
        <f t="shared" si="13"/>
        <v>3455101.8400255665</v>
      </c>
      <c r="V58" s="66">
        <f t="shared" si="14"/>
        <v>5139434.4318647832</v>
      </c>
      <c r="W58" s="62">
        <f>'Fin Legal Oper'!W67</f>
        <v>3711150.2667560168</v>
      </c>
      <c r="X58" s="48"/>
      <c r="Y58" s="47"/>
      <c r="Z58" s="60">
        <v>3520101.8400255665</v>
      </c>
      <c r="AA58" s="68">
        <v>3669261.4401710667</v>
      </c>
      <c r="AB58" s="69">
        <v>3655101.8400255665</v>
      </c>
    </row>
    <row r="59" spans="1:28" ht="15" customHeight="1">
      <c r="A59" s="41" t="s">
        <v>134</v>
      </c>
      <c r="B59" s="18" t="s">
        <v>135</v>
      </c>
      <c r="C59" s="62">
        <f>'Fin Legal Oper'!C147</f>
        <v>16655120.786570068</v>
      </c>
      <c r="D59" s="62">
        <f>'Fin Legal Oper'!D147</f>
        <v>17411661.748919137</v>
      </c>
      <c r="E59" s="62">
        <f>'Fin Legal Oper'!E147</f>
        <v>5508429</v>
      </c>
      <c r="F59" s="62">
        <f>'Fin Legal Oper'!F147</f>
        <v>6885816.0342137441</v>
      </c>
      <c r="G59" s="62">
        <f>'Fin Legal Oper'!G147</f>
        <v>6634965.7040382316</v>
      </c>
      <c r="H59" s="63"/>
      <c r="I59" s="62">
        <f>'Fin Legal Oper'!I147</f>
        <v>82500</v>
      </c>
      <c r="J59" s="62">
        <f>'Fin Legal Oper'!J147</f>
        <v>6160497.1302001253</v>
      </c>
      <c r="K59" s="62">
        <f>'Fin Legal Oper'!K147</f>
        <v>6209997.1302001253</v>
      </c>
      <c r="L59" s="56">
        <f>'Fin Legal Oper'!L147</f>
        <v>76500</v>
      </c>
      <c r="M59" s="56">
        <f>'Fin Legal Oper'!M147</f>
        <v>6807843.6521774177</v>
      </c>
      <c r="N59" s="56">
        <f>'Fin Legal Oper'!N147</f>
        <v>6884343.6521774177</v>
      </c>
      <c r="O59" s="56"/>
      <c r="P59" s="56">
        <f t="shared" si="12"/>
        <v>6884343.6521774177</v>
      </c>
      <c r="Q59" s="138">
        <f>'Fin Legal Oper'!Q147</f>
        <v>6122024.6605086233</v>
      </c>
      <c r="R59" s="138">
        <f>'Fin Legal Oper'!R147</f>
        <v>187500</v>
      </c>
      <c r="S59" s="138">
        <f>'Fin Legal Oper'!S147</f>
        <v>6228678.0944342781</v>
      </c>
      <c r="T59" s="138">
        <f>'Fin Legal Oper'!T147</f>
        <v>6416178.0944342781</v>
      </c>
      <c r="U59" s="66">
        <f t="shared" si="13"/>
        <v>12538202.754942901</v>
      </c>
      <c r="V59" s="66">
        <f t="shared" si="14"/>
        <v>19422546.407120317</v>
      </c>
      <c r="W59" s="62">
        <f>'Fin Legal Oper'!W147</f>
        <v>18353391.834238358</v>
      </c>
      <c r="X59" s="48"/>
      <c r="Y59" s="47"/>
      <c r="Z59" s="60">
        <v>12549602.754942901</v>
      </c>
      <c r="AA59" s="68">
        <v>17342195.67534595</v>
      </c>
      <c r="AB59" s="69">
        <v>12771662.085641529</v>
      </c>
    </row>
    <row r="60" spans="1:28" ht="15" customHeight="1">
      <c r="B60" s="18" t="s">
        <v>136</v>
      </c>
      <c r="C60" s="139">
        <f>-240000-120000-140000</f>
        <v>-500000</v>
      </c>
      <c r="D60" s="62">
        <v>-60500</v>
      </c>
      <c r="E60" s="62"/>
      <c r="F60" s="62"/>
      <c r="G60" s="62"/>
      <c r="H60" s="63"/>
      <c r="I60" s="62">
        <v>0</v>
      </c>
      <c r="J60" s="62">
        <v>0</v>
      </c>
      <c r="K60" s="62">
        <f>I60+J60</f>
        <v>0</v>
      </c>
      <c r="L60" s="56">
        <v>0</v>
      </c>
      <c r="M60" s="56">
        <v>0</v>
      </c>
      <c r="N60" s="56"/>
      <c r="O60" s="45"/>
      <c r="P60" s="56"/>
      <c r="Q60" s="66"/>
      <c r="R60" s="66"/>
      <c r="S60" s="66"/>
      <c r="T60" s="66"/>
      <c r="U60" s="66">
        <f t="shared" si="13"/>
        <v>0</v>
      </c>
      <c r="V60" s="66">
        <f t="shared" si="14"/>
        <v>0</v>
      </c>
      <c r="W60" s="62"/>
      <c r="X60" s="48"/>
      <c r="Y60" s="47"/>
      <c r="Z60" s="60">
        <v>0</v>
      </c>
      <c r="AA60" s="68"/>
      <c r="AB60" s="69">
        <v>0</v>
      </c>
    </row>
    <row r="61" spans="1:28" ht="33.4" customHeight="1">
      <c r="A61" s="41">
        <v>697</v>
      </c>
      <c r="B61" s="18" t="s">
        <v>137</v>
      </c>
      <c r="D61" s="62">
        <v>0</v>
      </c>
      <c r="E61" s="62"/>
      <c r="F61" s="62"/>
      <c r="G61" s="62"/>
      <c r="H61" s="63"/>
      <c r="I61" s="62"/>
      <c r="J61" s="62"/>
      <c r="K61" s="62">
        <f>I61+J61</f>
        <v>0</v>
      </c>
      <c r="L61" s="56">
        <v>0</v>
      </c>
      <c r="M61" s="56">
        <v>0</v>
      </c>
      <c r="N61" s="56"/>
      <c r="O61" s="45"/>
      <c r="P61" s="56"/>
      <c r="Q61" s="140">
        <v>1000000</v>
      </c>
      <c r="R61" s="66"/>
      <c r="S61" s="140">
        <v>1000000</v>
      </c>
      <c r="T61" s="66">
        <f>S61</f>
        <v>1000000</v>
      </c>
      <c r="U61" s="66">
        <f t="shared" si="13"/>
        <v>2000000</v>
      </c>
      <c r="V61" s="66">
        <f t="shared" si="14"/>
        <v>2000000</v>
      </c>
      <c r="W61" s="62">
        <v>0</v>
      </c>
      <c r="X61" s="141"/>
      <c r="Y61" s="47"/>
      <c r="Z61" s="60"/>
      <c r="AA61" s="68"/>
      <c r="AB61" s="69">
        <v>2500000</v>
      </c>
    </row>
    <row r="62" spans="1:28" s="143" customFormat="1">
      <c r="A62" s="90">
        <v>700</v>
      </c>
      <c r="B62" s="91" t="s">
        <v>138</v>
      </c>
      <c r="C62" s="92">
        <f>SUM(C50:C61)</f>
        <v>123033194.0015071</v>
      </c>
      <c r="D62" s="92">
        <f t="shared" ref="D62:G62" si="15">SUM(D50:D60)</f>
        <v>133859583.57230252</v>
      </c>
      <c r="E62" s="92">
        <f t="shared" si="15"/>
        <v>51646978.916201308</v>
      </c>
      <c r="F62" s="92">
        <f t="shared" si="15"/>
        <v>44367144.436389305</v>
      </c>
      <c r="G62" s="92">
        <f t="shared" si="15"/>
        <v>43733126.106213793</v>
      </c>
      <c r="H62" s="142"/>
      <c r="I62" s="92">
        <f t="shared" ref="I62:N62" si="16">SUM(I50:I60)</f>
        <v>3820507</v>
      </c>
      <c r="J62" s="92">
        <f t="shared" si="16"/>
        <v>43118075.615063049</v>
      </c>
      <c r="K62" s="92">
        <f t="shared" si="16"/>
        <v>47134794.615063049</v>
      </c>
      <c r="L62" s="93">
        <f t="shared" si="16"/>
        <v>4272007</v>
      </c>
      <c r="M62" s="93">
        <f t="shared" si="16"/>
        <v>47974956.932407223</v>
      </c>
      <c r="N62" s="93">
        <f t="shared" si="16"/>
        <v>52291963.932407223</v>
      </c>
      <c r="O62" s="94"/>
      <c r="P62" s="93">
        <f>N62</f>
        <v>52291963.932407223</v>
      </c>
      <c r="Q62" s="95">
        <f>SUM(Q50:Q61)</f>
        <v>48904133.744020708</v>
      </c>
      <c r="R62" s="95">
        <f t="shared" ref="R62:U62" si="17">SUM(R50:R61)</f>
        <v>3278000</v>
      </c>
      <c r="S62" s="95">
        <f t="shared" si="17"/>
        <v>48531402.058081992</v>
      </c>
      <c r="T62" s="95">
        <f t="shared" si="17"/>
        <v>51793427.058081992</v>
      </c>
      <c r="U62" s="95">
        <f t="shared" si="17"/>
        <v>100697560.80210271</v>
      </c>
      <c r="V62" s="95">
        <f t="shared" si="14"/>
        <v>152989524.73450994</v>
      </c>
      <c r="W62" s="92">
        <f>SUM(W50:W60)</f>
        <v>132861433.38794348</v>
      </c>
      <c r="X62" s="96"/>
      <c r="Y62" s="97"/>
      <c r="Z62" s="98">
        <f>SUM(Z50:Z61)</f>
        <v>100625503.05923754</v>
      </c>
      <c r="AA62" s="99">
        <f>SUM(AA50:AA60)</f>
        <v>134861446.91415003</v>
      </c>
      <c r="AB62" s="100">
        <v>107312608.2363933</v>
      </c>
    </row>
    <row r="63" spans="1:28">
      <c r="D63" s="42"/>
      <c r="E63" s="42"/>
      <c r="F63" s="42"/>
      <c r="G63" s="42"/>
      <c r="H63" s="43"/>
      <c r="I63" s="42"/>
      <c r="J63" s="42"/>
      <c r="K63" s="42"/>
      <c r="L63" s="44"/>
      <c r="M63" s="44"/>
      <c r="N63" s="44"/>
      <c r="O63" s="45"/>
      <c r="P63" s="46"/>
      <c r="Q63" s="144"/>
      <c r="R63" s="145"/>
      <c r="S63" s="145"/>
      <c r="T63" s="145"/>
      <c r="U63" s="145"/>
      <c r="V63" s="145"/>
      <c r="W63" s="42"/>
      <c r="X63" s="48"/>
      <c r="Y63" s="146"/>
      <c r="Z63" s="24"/>
      <c r="AA63" s="99"/>
      <c r="AB63" s="147"/>
    </row>
    <row r="64" spans="1:28" s="143" customFormat="1" ht="14.65" thickBot="1">
      <c r="A64" s="148">
        <v>701</v>
      </c>
      <c r="B64" s="149" t="s">
        <v>139</v>
      </c>
      <c r="C64" s="150">
        <f>+C44-C62</f>
        <v>2049990.2763868868</v>
      </c>
      <c r="D64" s="150">
        <f t="shared" ref="D64:G64" si="18">D44-D62</f>
        <v>134.60620260238647</v>
      </c>
      <c r="E64" s="150">
        <f t="shared" si="18"/>
        <v>-7706805.9162013084</v>
      </c>
      <c r="F64" s="150">
        <f t="shared" si="18"/>
        <v>562072.11137787253</v>
      </c>
      <c r="G64" s="150">
        <f t="shared" si="18"/>
        <v>1217656.3015533835</v>
      </c>
      <c r="H64" s="151"/>
      <c r="I64" s="150">
        <f t="shared" ref="I64:N64" si="19">I44-I62</f>
        <v>-2467977</v>
      </c>
      <c r="J64" s="150">
        <f t="shared" si="19"/>
        <v>1395545.5296104401</v>
      </c>
      <c r="K64" s="150">
        <f t="shared" si="19"/>
        <v>-1238643.4703895599</v>
      </c>
      <c r="L64" s="152">
        <f t="shared" si="19"/>
        <v>-2919477</v>
      </c>
      <c r="M64" s="152">
        <f t="shared" si="19"/>
        <v>3047334.1156432554</v>
      </c>
      <c r="N64" s="152">
        <f t="shared" si="19"/>
        <v>82857.115643255413</v>
      </c>
      <c r="O64" s="153"/>
      <c r="P64" s="93">
        <f>N64</f>
        <v>82857.115643255413</v>
      </c>
      <c r="Q64" s="97">
        <f t="shared" ref="Q64:V64" si="20">Q44-Q62</f>
        <v>224901.40140236169</v>
      </c>
      <c r="R64" s="154">
        <f t="shared" si="20"/>
        <v>-1778000</v>
      </c>
      <c r="S64" s="154">
        <f t="shared" si="20"/>
        <v>1561714.0894528553</v>
      </c>
      <c r="T64" s="154">
        <f t="shared" si="20"/>
        <v>-200310.91054714471</v>
      </c>
      <c r="U64" s="154">
        <f t="shared" si="20"/>
        <v>24590.49085521698</v>
      </c>
      <c r="V64" s="154">
        <f t="shared" si="20"/>
        <v>107447.60649847984</v>
      </c>
      <c r="W64" s="92">
        <f>W44-W62</f>
        <v>2658590.8211891651</v>
      </c>
      <c r="X64" s="96"/>
      <c r="Y64" s="155"/>
      <c r="Z64" s="98">
        <f t="shared" ref="Z64" si="21">Z44-Z62</f>
        <v>19648.233720391989</v>
      </c>
      <c r="AA64" s="156">
        <f>AA44-AA62</f>
        <v>77873.849180996418</v>
      </c>
      <c r="AB64" s="157">
        <v>-5667456.9434353709</v>
      </c>
    </row>
    <row r="65" spans="2:28">
      <c r="B65" s="158"/>
      <c r="C65" s="62"/>
      <c r="D65" s="159"/>
      <c r="E65" s="42"/>
      <c r="F65" s="42"/>
      <c r="G65" s="42"/>
      <c r="H65" s="43"/>
      <c r="I65" s="42"/>
      <c r="J65" s="42"/>
      <c r="K65" s="42"/>
      <c r="L65" s="44"/>
      <c r="M65" s="44"/>
      <c r="N65" s="44"/>
      <c r="O65" s="45"/>
      <c r="P65" s="46"/>
      <c r="W65" s="42"/>
      <c r="Z65" s="24"/>
      <c r="AA65" s="160"/>
      <c r="AB65" s="161"/>
    </row>
    <row r="66" spans="2:28">
      <c r="C66" s="62"/>
      <c r="D66" s="159"/>
      <c r="E66" s="42"/>
      <c r="F66" s="42"/>
      <c r="G66" s="42"/>
      <c r="H66" s="43"/>
      <c r="I66" s="42"/>
      <c r="J66" s="42"/>
      <c r="K66" s="42"/>
      <c r="L66" s="44"/>
      <c r="M66" s="44"/>
      <c r="N66" s="44"/>
      <c r="O66" s="45"/>
      <c r="P66" s="46"/>
      <c r="U66" s="20"/>
      <c r="W66" s="42"/>
      <c r="Z66" s="24"/>
      <c r="AA66" s="159"/>
      <c r="AB66" s="162">
        <v>-5.2812591517213223E-2</v>
      </c>
    </row>
    <row r="67" spans="2:28">
      <c r="B67" s="163"/>
      <c r="C67" s="62"/>
      <c r="D67" s="42"/>
      <c r="E67" s="42"/>
      <c r="F67" s="42"/>
      <c r="G67" s="42"/>
      <c r="H67" s="102"/>
      <c r="I67" s="42"/>
      <c r="J67" s="42"/>
      <c r="K67" s="42"/>
      <c r="L67" s="44"/>
      <c r="M67" s="44"/>
      <c r="N67" s="44"/>
      <c r="O67" s="45"/>
      <c r="P67" s="46"/>
      <c r="W67" s="42"/>
      <c r="Z67" s="24"/>
      <c r="AA67" s="159"/>
      <c r="AB67" s="70">
        <f>AB64+AB61</f>
        <v>-3167456.9434353709</v>
      </c>
    </row>
    <row r="68" spans="2:28">
      <c r="B68" s="51"/>
      <c r="C68" s="62"/>
      <c r="D68" s="42"/>
      <c r="E68" s="42"/>
      <c r="F68" s="42"/>
      <c r="G68" s="42"/>
      <c r="H68" s="102"/>
      <c r="I68" s="42"/>
      <c r="J68" s="42"/>
      <c r="K68" s="42"/>
      <c r="L68" s="45"/>
      <c r="M68" s="45"/>
      <c r="N68" s="45"/>
      <c r="O68" s="52"/>
      <c r="P68" s="53"/>
      <c r="U68" s="70"/>
      <c r="W68" s="43"/>
      <c r="Z68" s="54"/>
      <c r="AA68" s="42"/>
      <c r="AB68" s="70"/>
    </row>
    <row r="69" spans="2:28">
      <c r="C69" s="62"/>
      <c r="D69" s="42"/>
      <c r="E69" s="42"/>
      <c r="F69" s="42"/>
      <c r="G69" s="42"/>
      <c r="H69" s="43"/>
      <c r="I69" s="42"/>
      <c r="J69" s="42"/>
      <c r="K69" s="42"/>
      <c r="L69" s="44"/>
      <c r="M69" s="44"/>
      <c r="N69" s="44"/>
      <c r="O69" s="45"/>
      <c r="P69" s="46"/>
      <c r="W69" s="42"/>
      <c r="Z69" s="24"/>
      <c r="AA69" s="42"/>
    </row>
    <row r="70" spans="2:28">
      <c r="C70" s="62"/>
      <c r="D70" s="42"/>
      <c r="E70" s="42"/>
      <c r="F70" s="42"/>
      <c r="G70" s="42"/>
      <c r="H70" s="43"/>
      <c r="I70" s="42"/>
      <c r="J70" s="42"/>
      <c r="K70" s="42"/>
      <c r="L70" s="44"/>
      <c r="M70" s="44"/>
      <c r="N70" s="44"/>
      <c r="O70" s="45"/>
      <c r="P70" s="46"/>
      <c r="W70" s="42"/>
      <c r="Z70" s="24"/>
      <c r="AA70" s="42"/>
    </row>
    <row r="71" spans="2:28">
      <c r="C71" s="62"/>
      <c r="D71" s="42"/>
      <c r="E71" s="42"/>
      <c r="F71" s="42"/>
      <c r="G71" s="42"/>
      <c r="H71" s="43"/>
      <c r="I71" s="42"/>
      <c r="J71" s="42"/>
      <c r="K71" s="42"/>
      <c r="L71" s="44"/>
      <c r="M71" s="44"/>
      <c r="N71" s="44"/>
      <c r="O71" s="45"/>
      <c r="P71" s="46"/>
      <c r="W71" s="42"/>
      <c r="Z71" s="24"/>
      <c r="AA71" s="42"/>
    </row>
    <row r="72" spans="2:28">
      <c r="C72" s="62"/>
      <c r="D72" s="62"/>
      <c r="E72" s="62"/>
      <c r="F72" s="62"/>
      <c r="G72" s="62"/>
      <c r="H72" s="63"/>
      <c r="I72" s="62"/>
      <c r="J72" s="62"/>
      <c r="K72" s="62"/>
      <c r="L72" s="56"/>
      <c r="M72" s="56"/>
      <c r="N72" s="56"/>
      <c r="O72" s="45"/>
      <c r="P72" s="56"/>
      <c r="W72" s="62"/>
      <c r="Z72" s="60"/>
      <c r="AA72" s="42"/>
    </row>
    <row r="73" spans="2:28">
      <c r="B73" s="158"/>
      <c r="C73" s="62"/>
      <c r="D73" s="42"/>
      <c r="E73" s="42"/>
      <c r="F73" s="42"/>
      <c r="G73" s="42"/>
      <c r="H73" s="43"/>
      <c r="I73" s="42"/>
      <c r="J73" s="42"/>
      <c r="K73" s="42"/>
      <c r="L73" s="42"/>
      <c r="M73" s="42"/>
      <c r="N73" s="42"/>
      <c r="O73" s="43"/>
      <c r="P73" s="164"/>
      <c r="W73" s="42"/>
      <c r="Z73" s="24"/>
      <c r="AA73" s="62"/>
    </row>
    <row r="74" spans="2:28">
      <c r="B74" s="163"/>
      <c r="C74" s="62"/>
      <c r="D74" s="42"/>
      <c r="E74" s="42"/>
      <c r="F74" s="42"/>
      <c r="G74" s="42"/>
      <c r="H74" s="43"/>
      <c r="I74" s="42"/>
      <c r="J74" s="42"/>
      <c r="K74" s="42"/>
      <c r="L74" s="42"/>
      <c r="M74" s="42"/>
      <c r="N74" s="42"/>
      <c r="O74" s="43"/>
      <c r="P74" s="164"/>
      <c r="W74" s="42"/>
      <c r="Z74" s="24"/>
      <c r="AA74" s="42"/>
    </row>
    <row r="75" spans="2:28">
      <c r="B75" s="163"/>
      <c r="C75" s="62"/>
      <c r="D75" s="42"/>
      <c r="E75" s="42"/>
      <c r="F75" s="42"/>
      <c r="G75" s="42"/>
      <c r="H75" s="43"/>
      <c r="I75" s="42"/>
      <c r="J75" s="42"/>
      <c r="K75" s="42"/>
      <c r="L75" s="42"/>
      <c r="M75" s="42"/>
      <c r="N75" s="42"/>
      <c r="O75" s="43"/>
      <c r="P75" s="164"/>
      <c r="W75" s="42"/>
      <c r="Z75" s="24"/>
      <c r="AA75" s="42"/>
    </row>
    <row r="76" spans="2:28">
      <c r="B76" s="163"/>
      <c r="C76" s="62"/>
      <c r="D76" s="42"/>
      <c r="E76" s="42"/>
      <c r="F76" s="42"/>
      <c r="G76" s="42"/>
      <c r="H76" s="43"/>
      <c r="I76" s="42"/>
      <c r="J76" s="42"/>
      <c r="K76" s="42"/>
      <c r="L76" s="42"/>
      <c r="M76" s="42"/>
      <c r="N76" s="42"/>
      <c r="O76" s="43"/>
      <c r="P76" s="164"/>
      <c r="W76" s="42"/>
      <c r="Z76" s="24"/>
      <c r="AA76" s="42"/>
    </row>
    <row r="77" spans="2:28">
      <c r="B77" s="163"/>
      <c r="C77" s="62"/>
      <c r="D77" s="42"/>
      <c r="E77" s="42"/>
      <c r="F77" s="42"/>
      <c r="G77" s="42"/>
      <c r="H77" s="43"/>
      <c r="I77" s="42"/>
      <c r="J77" s="42"/>
      <c r="K77" s="42"/>
      <c r="L77" s="42"/>
      <c r="M77" s="42"/>
      <c r="N77" s="42"/>
      <c r="O77" s="43"/>
      <c r="P77" s="164"/>
      <c r="W77" s="42"/>
      <c r="Z77" s="24"/>
      <c r="AA77" s="42"/>
    </row>
    <row r="78" spans="2:28">
      <c r="B78" s="163"/>
      <c r="C78" s="62"/>
      <c r="D78" s="165"/>
      <c r="E78" s="165"/>
      <c r="F78" s="165"/>
      <c r="G78" s="165"/>
      <c r="H78" s="166"/>
      <c r="I78" s="165"/>
      <c r="J78" s="165"/>
      <c r="K78" s="165"/>
      <c r="L78" s="165"/>
      <c r="M78" s="165"/>
      <c r="N78" s="165"/>
      <c r="O78" s="166"/>
      <c r="P78" s="167"/>
      <c r="W78" s="165"/>
      <c r="AA78" s="165"/>
    </row>
    <row r="79" spans="2:28">
      <c r="B79" s="163"/>
      <c r="C79" s="62"/>
      <c r="D79" s="165"/>
      <c r="E79" s="165"/>
      <c r="F79" s="165"/>
      <c r="G79" s="165"/>
      <c r="H79" s="166"/>
      <c r="I79" s="165"/>
      <c r="J79" s="165"/>
      <c r="K79" s="165"/>
      <c r="L79" s="165"/>
      <c r="M79" s="165"/>
      <c r="N79" s="165"/>
      <c r="O79" s="166"/>
      <c r="P79" s="167"/>
      <c r="W79" s="165"/>
      <c r="AA79" s="165"/>
    </row>
    <row r="80" spans="2:28">
      <c r="B80" s="163"/>
      <c r="C80" s="62"/>
      <c r="D80" s="169"/>
      <c r="E80" s="165"/>
      <c r="F80" s="165"/>
      <c r="G80" s="165"/>
      <c r="H80" s="166"/>
      <c r="I80" s="165"/>
      <c r="J80" s="165"/>
      <c r="K80" s="165"/>
      <c r="L80" s="165"/>
      <c r="M80" s="165"/>
      <c r="N80" s="165"/>
      <c r="O80" s="166"/>
      <c r="P80" s="167"/>
      <c r="W80" s="165"/>
      <c r="AA80" s="165"/>
    </row>
    <row r="81" spans="2:27">
      <c r="B81" s="163"/>
      <c r="D81" s="165"/>
      <c r="E81" s="165"/>
      <c r="F81" s="165"/>
      <c r="G81" s="165"/>
      <c r="H81" s="166"/>
      <c r="I81" s="165"/>
      <c r="J81" s="165"/>
      <c r="K81" s="165"/>
      <c r="L81" s="165"/>
      <c r="M81" s="165"/>
      <c r="N81" s="165"/>
      <c r="O81" s="166"/>
      <c r="P81" s="167"/>
      <c r="W81" s="165"/>
      <c r="AA81" s="169"/>
    </row>
    <row r="82" spans="2:27">
      <c r="B82" s="163"/>
      <c r="D82" s="165"/>
      <c r="E82" s="165"/>
      <c r="F82" s="165"/>
      <c r="G82" s="165"/>
      <c r="H82" s="166"/>
      <c r="I82" s="165"/>
      <c r="J82" s="165"/>
      <c r="K82" s="165"/>
      <c r="L82" s="165"/>
      <c r="M82" s="165"/>
      <c r="N82" s="165"/>
      <c r="O82" s="166"/>
      <c r="P82" s="167"/>
      <c r="W82" s="165"/>
      <c r="AA82" s="165"/>
    </row>
    <row r="83" spans="2:27">
      <c r="D83" s="165"/>
      <c r="E83" s="165"/>
      <c r="F83" s="165"/>
      <c r="G83" s="165"/>
      <c r="H83" s="166"/>
      <c r="I83" s="165"/>
      <c r="J83" s="165"/>
      <c r="K83" s="165"/>
      <c r="L83" s="165"/>
      <c r="M83" s="165"/>
      <c r="N83" s="165"/>
      <c r="O83" s="166"/>
      <c r="P83" s="167"/>
      <c r="W83" s="165"/>
      <c r="AA83" s="165"/>
    </row>
    <row r="84" spans="2:27">
      <c r="D84" s="165"/>
      <c r="E84" s="165"/>
      <c r="F84" s="165"/>
      <c r="G84" s="165"/>
      <c r="H84" s="166"/>
      <c r="I84" s="165"/>
      <c r="J84" s="165"/>
      <c r="K84" s="165"/>
      <c r="L84" s="165"/>
      <c r="M84" s="165"/>
      <c r="N84" s="165"/>
      <c r="O84" s="166"/>
      <c r="P84" s="167"/>
      <c r="W84" s="165"/>
      <c r="AA84" s="165"/>
    </row>
    <row r="85" spans="2:27">
      <c r="D85" s="165"/>
      <c r="E85" s="165"/>
      <c r="F85" s="165"/>
      <c r="G85" s="165"/>
      <c r="H85" s="166"/>
      <c r="I85" s="165"/>
      <c r="J85" s="165"/>
      <c r="K85" s="165"/>
      <c r="L85" s="165"/>
      <c r="M85" s="165"/>
      <c r="N85" s="165"/>
      <c r="O85" s="166"/>
      <c r="P85" s="167"/>
      <c r="W85" s="165"/>
      <c r="AA85" s="165"/>
    </row>
    <row r="86" spans="2:27">
      <c r="D86" s="165"/>
      <c r="E86" s="165"/>
      <c r="F86" s="165"/>
      <c r="G86" s="165"/>
      <c r="H86" s="166"/>
      <c r="I86" s="165"/>
      <c r="J86" s="165"/>
      <c r="K86" s="165"/>
      <c r="L86" s="165"/>
      <c r="M86" s="165"/>
      <c r="N86" s="165"/>
      <c r="O86" s="166"/>
      <c r="P86" s="167"/>
      <c r="W86" s="165"/>
      <c r="AA86" s="165"/>
    </row>
    <row r="87" spans="2:27">
      <c r="D87" s="165"/>
      <c r="E87" s="165"/>
      <c r="F87" s="165"/>
      <c r="G87" s="165"/>
      <c r="H87" s="166"/>
      <c r="I87" s="165"/>
      <c r="J87" s="165"/>
      <c r="K87" s="165"/>
      <c r="L87" s="165"/>
      <c r="M87" s="165"/>
      <c r="N87" s="165"/>
      <c r="O87" s="166"/>
      <c r="P87" s="167"/>
      <c r="W87" s="165"/>
      <c r="AA87" s="165"/>
    </row>
    <row r="88" spans="2:27">
      <c r="D88" s="165"/>
      <c r="E88" s="165"/>
      <c r="F88" s="165"/>
      <c r="G88" s="165"/>
      <c r="H88" s="166"/>
      <c r="I88" s="165"/>
      <c r="J88" s="165"/>
      <c r="K88" s="165"/>
      <c r="L88" s="165"/>
      <c r="M88" s="165"/>
      <c r="N88" s="165"/>
      <c r="O88" s="166"/>
      <c r="P88" s="167"/>
      <c r="W88" s="165"/>
      <c r="AA88" s="165"/>
    </row>
    <row r="89" spans="2:27">
      <c r="D89" s="165"/>
      <c r="E89" s="165"/>
      <c r="F89" s="165"/>
      <c r="G89" s="165"/>
      <c r="H89" s="166"/>
      <c r="I89" s="165"/>
      <c r="J89" s="165"/>
      <c r="K89" s="165"/>
      <c r="L89" s="165"/>
      <c r="M89" s="165"/>
      <c r="N89" s="165"/>
      <c r="O89" s="166"/>
      <c r="P89" s="167"/>
      <c r="W89" s="165"/>
      <c r="AA89" s="165"/>
    </row>
    <row r="90" spans="2:27">
      <c r="D90" s="165"/>
      <c r="E90" s="165"/>
      <c r="F90" s="165"/>
      <c r="G90" s="165"/>
      <c r="H90" s="166"/>
      <c r="I90" s="165"/>
      <c r="J90" s="165"/>
      <c r="K90" s="165"/>
      <c r="L90" s="165"/>
      <c r="M90" s="165"/>
      <c r="N90" s="165"/>
      <c r="O90" s="166"/>
      <c r="P90" s="167"/>
      <c r="W90" s="165"/>
      <c r="AA90" s="165"/>
    </row>
    <row r="91" spans="2:27">
      <c r="D91" s="165"/>
      <c r="E91" s="165"/>
      <c r="F91" s="165"/>
      <c r="G91" s="165"/>
      <c r="H91" s="166"/>
      <c r="I91" s="165"/>
      <c r="J91" s="165"/>
      <c r="K91" s="165"/>
      <c r="L91" s="165"/>
      <c r="M91" s="165"/>
      <c r="N91" s="165"/>
      <c r="O91" s="166"/>
      <c r="P91" s="167"/>
      <c r="W91" s="165"/>
      <c r="AA91" s="165"/>
    </row>
    <row r="92" spans="2:27">
      <c r="D92" s="165"/>
      <c r="E92" s="165"/>
      <c r="F92" s="165"/>
      <c r="G92" s="165"/>
      <c r="H92" s="166"/>
      <c r="I92" s="165"/>
      <c r="J92" s="165"/>
      <c r="K92" s="165"/>
      <c r="L92" s="165"/>
      <c r="M92" s="165"/>
      <c r="N92" s="165"/>
      <c r="O92" s="166"/>
      <c r="P92" s="167"/>
      <c r="W92" s="165"/>
      <c r="AA92" s="165"/>
    </row>
    <row r="93" spans="2:27">
      <c r="I93" s="165"/>
      <c r="J93" s="165"/>
      <c r="AA93" s="165"/>
    </row>
    <row r="94" spans="2:27">
      <c r="I94" s="165"/>
      <c r="J94" s="165"/>
    </row>
    <row r="95" spans="2:27">
      <c r="I95" s="165"/>
      <c r="J95" s="165"/>
    </row>
    <row r="96" spans="2:27">
      <c r="I96" s="165"/>
      <c r="J96" s="165"/>
    </row>
    <row r="97" spans="9:10">
      <c r="I97" s="165"/>
      <c r="J97" s="165"/>
    </row>
    <row r="98" spans="9:10">
      <c r="I98" s="165"/>
      <c r="J98" s="165"/>
    </row>
    <row r="99" spans="9:10">
      <c r="I99" s="165"/>
      <c r="J99" s="165"/>
    </row>
    <row r="100" spans="9:10">
      <c r="I100" s="165"/>
      <c r="J100" s="165"/>
    </row>
    <row r="101" spans="9:10">
      <c r="I101" s="165"/>
      <c r="J101" s="165"/>
    </row>
    <row r="102" spans="9:10">
      <c r="I102" s="165"/>
      <c r="J102" s="165"/>
    </row>
    <row r="103" spans="9:10">
      <c r="I103" s="165"/>
      <c r="J103" s="165"/>
    </row>
    <row r="104" spans="9:10">
      <c r="I104" s="165"/>
      <c r="J104" s="165"/>
    </row>
    <row r="105" spans="9:10">
      <c r="I105" s="165"/>
      <c r="J105" s="165"/>
    </row>
    <row r="106" spans="9:10">
      <c r="I106" s="165"/>
      <c r="J106" s="165"/>
    </row>
    <row r="107" spans="9:10">
      <c r="I107" s="165"/>
      <c r="J107" s="165"/>
    </row>
    <row r="108" spans="9:10">
      <c r="I108" s="165"/>
      <c r="J108" s="165"/>
    </row>
    <row r="109" spans="9:10">
      <c r="I109" s="165"/>
      <c r="J109" s="165"/>
    </row>
    <row r="110" spans="9:10">
      <c r="I110" s="165"/>
      <c r="J110" s="165"/>
    </row>
    <row r="111" spans="9:10">
      <c r="I111" s="165"/>
      <c r="J111" s="165"/>
    </row>
    <row r="112" spans="9:10">
      <c r="I112" s="165"/>
      <c r="J112" s="165"/>
    </row>
    <row r="113" spans="9:10">
      <c r="I113" s="165"/>
      <c r="J113" s="165"/>
    </row>
    <row r="114" spans="9:10">
      <c r="I114" s="165"/>
      <c r="J114" s="165"/>
    </row>
    <row r="115" spans="9:10">
      <c r="I115" s="165"/>
      <c r="J115" s="165"/>
    </row>
    <row r="116" spans="9:10">
      <c r="I116" s="165"/>
      <c r="J116" s="165"/>
    </row>
    <row r="117" spans="9:10">
      <c r="I117" s="165"/>
      <c r="J117" s="165"/>
    </row>
    <row r="118" spans="9:10">
      <c r="I118" s="165"/>
      <c r="J118" s="165"/>
    </row>
    <row r="119" spans="9:10">
      <c r="I119" s="165"/>
      <c r="J119" s="165"/>
    </row>
    <row r="120" spans="9:10">
      <c r="I120" s="165"/>
      <c r="J120" s="165"/>
    </row>
    <row r="121" spans="9:10">
      <c r="I121" s="165"/>
      <c r="J121" s="165"/>
    </row>
    <row r="122" spans="9:10">
      <c r="I122" s="165"/>
      <c r="J122" s="165"/>
    </row>
    <row r="123" spans="9:10">
      <c r="I123" s="165"/>
      <c r="J123" s="165"/>
    </row>
    <row r="124" spans="9:10">
      <c r="I124" s="165"/>
      <c r="J124" s="165"/>
    </row>
    <row r="125" spans="9:10">
      <c r="I125" s="165"/>
      <c r="J125" s="165"/>
    </row>
    <row r="126" spans="9:10">
      <c r="I126" s="165"/>
      <c r="J126" s="165"/>
    </row>
    <row r="127" spans="9:10">
      <c r="I127" s="165"/>
      <c r="J127" s="165"/>
    </row>
    <row r="128" spans="9:10">
      <c r="I128" s="165"/>
      <c r="J128" s="165"/>
    </row>
    <row r="129" spans="9:10">
      <c r="I129" s="165"/>
      <c r="J129" s="165"/>
    </row>
    <row r="130" spans="9:10">
      <c r="I130" s="165"/>
      <c r="J130" s="165"/>
    </row>
    <row r="131" spans="9:10">
      <c r="I131" s="165"/>
      <c r="J131" s="165"/>
    </row>
    <row r="132" spans="9:10">
      <c r="I132" s="165"/>
      <c r="J132" s="165"/>
    </row>
    <row r="133" spans="9:10">
      <c r="I133" s="165"/>
      <c r="J133" s="165"/>
    </row>
    <row r="134" spans="9:10">
      <c r="I134" s="165"/>
      <c r="J134" s="165"/>
    </row>
    <row r="135" spans="9:10">
      <c r="I135" s="165"/>
      <c r="J135" s="165"/>
    </row>
    <row r="136" spans="9:10">
      <c r="I136" s="165"/>
      <c r="J136" s="165"/>
    </row>
    <row r="137" spans="9:10">
      <c r="I137" s="165"/>
      <c r="J137" s="165"/>
    </row>
    <row r="138" spans="9:10">
      <c r="I138" s="165"/>
      <c r="J138" s="165"/>
    </row>
    <row r="139" spans="9:10">
      <c r="I139" s="165"/>
      <c r="J139" s="165"/>
    </row>
    <row r="140" spans="9:10">
      <c r="I140" s="165"/>
      <c r="J140" s="165"/>
    </row>
    <row r="141" spans="9:10">
      <c r="I141" s="165"/>
      <c r="J141" s="165"/>
    </row>
    <row r="142" spans="9:10">
      <c r="I142" s="165"/>
      <c r="J142" s="165"/>
    </row>
    <row r="143" spans="9:10">
      <c r="I143" s="165"/>
      <c r="J143" s="165"/>
    </row>
    <row r="144" spans="9:10">
      <c r="I144" s="165"/>
      <c r="J144" s="165"/>
    </row>
    <row r="145" spans="9:10">
      <c r="I145" s="165"/>
      <c r="J145" s="165"/>
    </row>
    <row r="146" spans="9:10">
      <c r="I146" s="165"/>
      <c r="J146" s="165"/>
    </row>
    <row r="147" spans="9:10">
      <c r="I147" s="165"/>
      <c r="J147" s="165"/>
    </row>
    <row r="148" spans="9:10">
      <c r="I148" s="165"/>
      <c r="J148" s="165"/>
    </row>
    <row r="149" spans="9:10">
      <c r="I149" s="165"/>
      <c r="J149" s="165"/>
    </row>
    <row r="150" spans="9:10">
      <c r="I150" s="165"/>
      <c r="J150" s="165"/>
    </row>
    <row r="151" spans="9:10">
      <c r="I151" s="165"/>
      <c r="J151" s="165"/>
    </row>
    <row r="152" spans="9:10">
      <c r="I152" s="165"/>
      <c r="J152" s="165"/>
    </row>
    <row r="153" spans="9:10">
      <c r="I153" s="165"/>
      <c r="J153" s="165"/>
    </row>
    <row r="154" spans="9:10">
      <c r="I154" s="165"/>
      <c r="J154" s="165"/>
    </row>
    <row r="155" spans="9:10">
      <c r="I155" s="165"/>
      <c r="J155" s="165"/>
    </row>
    <row r="156" spans="9:10">
      <c r="I156" s="165"/>
      <c r="J156" s="165"/>
    </row>
    <row r="157" spans="9:10">
      <c r="I157" s="165"/>
      <c r="J157" s="165"/>
    </row>
    <row r="158" spans="9:10">
      <c r="I158" s="165"/>
      <c r="J158" s="165"/>
    </row>
    <row r="159" spans="9:10">
      <c r="I159" s="165"/>
      <c r="J159" s="165"/>
    </row>
    <row r="160" spans="9:10">
      <c r="I160" s="165"/>
      <c r="J160" s="165"/>
    </row>
    <row r="161" spans="9:10">
      <c r="I161" s="165"/>
      <c r="J161" s="165"/>
    </row>
    <row r="162" spans="9:10">
      <c r="I162" s="165"/>
      <c r="J162" s="165"/>
    </row>
    <row r="163" spans="9:10">
      <c r="I163" s="165"/>
      <c r="J163" s="165"/>
    </row>
    <row r="164" spans="9:10">
      <c r="I164" s="165"/>
      <c r="J164" s="165"/>
    </row>
    <row r="165" spans="9:10">
      <c r="I165" s="165"/>
      <c r="J165" s="165"/>
    </row>
    <row r="166" spans="9:10">
      <c r="I166" s="165"/>
      <c r="J166" s="165"/>
    </row>
    <row r="167" spans="9:10">
      <c r="I167" s="165"/>
      <c r="J167" s="165"/>
    </row>
    <row r="168" spans="9:10">
      <c r="I168" s="165"/>
      <c r="J168" s="165"/>
    </row>
    <row r="169" spans="9:10">
      <c r="I169" s="165"/>
      <c r="J169" s="165"/>
    </row>
    <row r="170" spans="9:10">
      <c r="I170" s="165"/>
      <c r="J170" s="165"/>
    </row>
    <row r="171" spans="9:10">
      <c r="I171" s="165"/>
      <c r="J171" s="165"/>
    </row>
    <row r="172" spans="9:10">
      <c r="I172" s="165"/>
      <c r="J172" s="165"/>
    </row>
    <row r="173" spans="9:10">
      <c r="I173" s="165"/>
      <c r="J173" s="165"/>
    </row>
    <row r="174" spans="9:10">
      <c r="I174" s="165"/>
      <c r="J174" s="165"/>
    </row>
    <row r="175" spans="9:10">
      <c r="I175" s="165"/>
      <c r="J175" s="165"/>
    </row>
    <row r="176" spans="9:10">
      <c r="I176" s="165"/>
      <c r="J176" s="165"/>
    </row>
    <row r="177" spans="9:10">
      <c r="I177" s="165"/>
      <c r="J177" s="165"/>
    </row>
    <row r="178" spans="9:10">
      <c r="I178" s="165"/>
      <c r="J178" s="165"/>
    </row>
    <row r="179" spans="9:10">
      <c r="I179" s="165"/>
      <c r="J179" s="165"/>
    </row>
    <row r="180" spans="9:10">
      <c r="I180" s="165"/>
      <c r="J180" s="165"/>
    </row>
    <row r="181" spans="9:10">
      <c r="I181" s="165"/>
      <c r="J181" s="165"/>
    </row>
    <row r="182" spans="9:10">
      <c r="I182" s="165"/>
      <c r="J182" s="165"/>
    </row>
    <row r="183" spans="9:10">
      <c r="I183" s="165"/>
      <c r="J183" s="165"/>
    </row>
    <row r="184" spans="9:10">
      <c r="I184" s="165"/>
      <c r="J184" s="165"/>
    </row>
    <row r="185" spans="9:10">
      <c r="I185" s="165"/>
      <c r="J185" s="165"/>
    </row>
    <row r="186" spans="9:10">
      <c r="I186" s="165"/>
      <c r="J186" s="165"/>
    </row>
    <row r="187" spans="9:10">
      <c r="I187" s="165"/>
      <c r="J187" s="165"/>
    </row>
    <row r="188" spans="9:10">
      <c r="I188" s="165"/>
      <c r="J188" s="165"/>
    </row>
    <row r="189" spans="9:10">
      <c r="I189" s="165"/>
      <c r="J189" s="165"/>
    </row>
    <row r="190" spans="9:10">
      <c r="I190" s="165"/>
      <c r="J190" s="165"/>
    </row>
    <row r="191" spans="9:10">
      <c r="I191" s="165"/>
      <c r="J191" s="165"/>
    </row>
    <row r="192" spans="9:10">
      <c r="I192" s="165"/>
      <c r="J192" s="165"/>
    </row>
    <row r="193" spans="9:10">
      <c r="I193" s="165"/>
      <c r="J193" s="165"/>
    </row>
    <row r="194" spans="9:10">
      <c r="I194" s="165"/>
      <c r="J194" s="165"/>
    </row>
    <row r="195" spans="9:10">
      <c r="I195" s="165"/>
      <c r="J195" s="165"/>
    </row>
    <row r="196" spans="9:10">
      <c r="I196" s="165"/>
      <c r="J196" s="165"/>
    </row>
    <row r="197" spans="9:10">
      <c r="I197" s="165"/>
      <c r="J197" s="165"/>
    </row>
    <row r="198" spans="9:10">
      <c r="I198" s="165"/>
      <c r="J198" s="165"/>
    </row>
    <row r="199" spans="9:10">
      <c r="I199" s="165"/>
      <c r="J199" s="165"/>
    </row>
    <row r="200" spans="9:10">
      <c r="I200" s="165"/>
      <c r="J200" s="165"/>
    </row>
    <row r="201" spans="9:10">
      <c r="I201" s="165"/>
      <c r="J201" s="165"/>
    </row>
    <row r="202" spans="9:10">
      <c r="I202" s="165"/>
      <c r="J202" s="165"/>
    </row>
    <row r="203" spans="9:10">
      <c r="I203" s="165"/>
      <c r="J203" s="165"/>
    </row>
    <row r="204" spans="9:10">
      <c r="I204" s="165"/>
      <c r="J204" s="165"/>
    </row>
    <row r="205" spans="9:10">
      <c r="I205" s="165"/>
      <c r="J205" s="165"/>
    </row>
    <row r="206" spans="9:10">
      <c r="I206" s="165"/>
      <c r="J206" s="165"/>
    </row>
    <row r="207" spans="9:10">
      <c r="I207" s="165"/>
      <c r="J207" s="165"/>
    </row>
    <row r="208" spans="9:10">
      <c r="I208" s="165"/>
      <c r="J208" s="165"/>
    </row>
    <row r="209" spans="9:10">
      <c r="I209" s="165"/>
      <c r="J209" s="165"/>
    </row>
    <row r="210" spans="9:10">
      <c r="I210" s="165"/>
      <c r="J210" s="165"/>
    </row>
    <row r="211" spans="9:10">
      <c r="I211" s="165"/>
      <c r="J211" s="165"/>
    </row>
    <row r="212" spans="9:10">
      <c r="I212" s="165"/>
      <c r="J212" s="165"/>
    </row>
    <row r="213" spans="9:10">
      <c r="I213" s="165"/>
      <c r="J213" s="165"/>
    </row>
    <row r="214" spans="9:10">
      <c r="I214" s="165"/>
      <c r="J214" s="165"/>
    </row>
    <row r="215" spans="9:10">
      <c r="I215" s="165"/>
      <c r="J215" s="165"/>
    </row>
    <row r="216" spans="9:10">
      <c r="I216" s="165"/>
      <c r="J216" s="165"/>
    </row>
    <row r="217" spans="9:10">
      <c r="I217" s="165"/>
      <c r="J217" s="165"/>
    </row>
    <row r="218" spans="9:10">
      <c r="I218" s="165"/>
      <c r="J218" s="165"/>
    </row>
    <row r="219" spans="9:10">
      <c r="I219" s="165"/>
      <c r="J219" s="165"/>
    </row>
    <row r="220" spans="9:10">
      <c r="I220" s="165"/>
      <c r="J220" s="165"/>
    </row>
    <row r="221" spans="9:10">
      <c r="I221" s="165"/>
      <c r="J221" s="165"/>
    </row>
    <row r="222" spans="9:10">
      <c r="I222" s="165"/>
      <c r="J222" s="165"/>
    </row>
    <row r="223" spans="9:10">
      <c r="I223" s="165"/>
      <c r="J223" s="165"/>
    </row>
    <row r="224" spans="9:10">
      <c r="I224" s="165"/>
      <c r="J224" s="165"/>
    </row>
    <row r="225" spans="9:10">
      <c r="I225" s="165"/>
      <c r="J225" s="165"/>
    </row>
    <row r="226" spans="9:10">
      <c r="I226" s="165"/>
      <c r="J226" s="165"/>
    </row>
    <row r="227" spans="9:10">
      <c r="I227" s="165"/>
      <c r="J227" s="165"/>
    </row>
    <row r="228" spans="9:10">
      <c r="I228" s="165"/>
      <c r="J228" s="165"/>
    </row>
    <row r="229" spans="9:10">
      <c r="I229" s="165"/>
      <c r="J229" s="165"/>
    </row>
    <row r="230" spans="9:10">
      <c r="I230" s="165"/>
      <c r="J230" s="165"/>
    </row>
    <row r="231" spans="9:10">
      <c r="I231" s="165"/>
      <c r="J231" s="165"/>
    </row>
    <row r="232" spans="9:10">
      <c r="I232" s="165"/>
      <c r="J232" s="165"/>
    </row>
    <row r="233" spans="9:10">
      <c r="I233" s="165"/>
      <c r="J233" s="165"/>
    </row>
    <row r="234" spans="9:10">
      <c r="I234" s="165"/>
      <c r="J234" s="165"/>
    </row>
    <row r="235" spans="9:10">
      <c r="I235" s="165"/>
      <c r="J235" s="165"/>
    </row>
    <row r="236" spans="9:10">
      <c r="I236" s="165"/>
      <c r="J236" s="165"/>
    </row>
    <row r="237" spans="9:10">
      <c r="I237" s="165"/>
      <c r="J237" s="165"/>
    </row>
    <row r="238" spans="9:10">
      <c r="I238" s="165"/>
      <c r="J238" s="165"/>
    </row>
    <row r="239" spans="9:10">
      <c r="I239" s="165"/>
      <c r="J239" s="165"/>
    </row>
    <row r="240" spans="9:10">
      <c r="I240" s="165"/>
      <c r="J240" s="165"/>
    </row>
    <row r="241" spans="9:10">
      <c r="I241" s="165"/>
      <c r="J241" s="165"/>
    </row>
    <row r="242" spans="9:10">
      <c r="I242" s="165"/>
      <c r="J242" s="165"/>
    </row>
    <row r="243" spans="9:10">
      <c r="I243" s="165"/>
      <c r="J243" s="165"/>
    </row>
    <row r="244" spans="9:10">
      <c r="I244" s="165"/>
      <c r="J244" s="165"/>
    </row>
    <row r="245" spans="9:10">
      <c r="I245" s="165"/>
      <c r="J245" s="165"/>
    </row>
    <row r="246" spans="9:10">
      <c r="I246" s="165"/>
      <c r="J246" s="165"/>
    </row>
    <row r="247" spans="9:10">
      <c r="I247" s="165"/>
      <c r="J247" s="165"/>
    </row>
    <row r="248" spans="9:10">
      <c r="I248" s="165"/>
      <c r="J248" s="165"/>
    </row>
    <row r="249" spans="9:10">
      <c r="I249" s="165"/>
      <c r="J249" s="165"/>
    </row>
    <row r="250" spans="9:10">
      <c r="I250" s="165"/>
      <c r="J250" s="165"/>
    </row>
    <row r="251" spans="9:10">
      <c r="I251" s="165"/>
      <c r="J251" s="165"/>
    </row>
    <row r="252" spans="9:10">
      <c r="I252" s="165"/>
      <c r="J252" s="165"/>
    </row>
    <row r="253" spans="9:10">
      <c r="I253" s="165"/>
      <c r="J253" s="165"/>
    </row>
    <row r="254" spans="9:10">
      <c r="I254" s="165"/>
      <c r="J254" s="165"/>
    </row>
    <row r="255" spans="9:10">
      <c r="I255" s="165"/>
      <c r="J255" s="165"/>
    </row>
    <row r="256" spans="9:10">
      <c r="I256" s="165"/>
      <c r="J256" s="165"/>
    </row>
    <row r="257" spans="9:10">
      <c r="I257" s="165"/>
      <c r="J257" s="165"/>
    </row>
    <row r="258" spans="9:10">
      <c r="I258" s="165"/>
      <c r="J258" s="165"/>
    </row>
    <row r="259" spans="9:10">
      <c r="I259" s="165"/>
      <c r="J259" s="165"/>
    </row>
    <row r="260" spans="9:10">
      <c r="I260" s="165"/>
      <c r="J260" s="165"/>
    </row>
    <row r="261" spans="9:10">
      <c r="I261" s="165"/>
      <c r="J261" s="165"/>
    </row>
    <row r="262" spans="9:10">
      <c r="I262" s="165"/>
      <c r="J262" s="165"/>
    </row>
    <row r="263" spans="9:10">
      <c r="I263" s="165"/>
      <c r="J263" s="165"/>
    </row>
    <row r="264" spans="9:10">
      <c r="I264" s="165"/>
      <c r="J264" s="165"/>
    </row>
    <row r="265" spans="9:10">
      <c r="I265" s="165"/>
      <c r="J265" s="165"/>
    </row>
    <row r="266" spans="9:10">
      <c r="I266" s="165"/>
      <c r="J266" s="165"/>
    </row>
    <row r="267" spans="9:10">
      <c r="I267" s="165"/>
      <c r="J267" s="165"/>
    </row>
    <row r="268" spans="9:10">
      <c r="I268" s="165"/>
      <c r="J268" s="165"/>
    </row>
    <row r="269" spans="9:10">
      <c r="I269" s="165"/>
      <c r="J269" s="165"/>
    </row>
    <row r="270" spans="9:10">
      <c r="I270" s="165"/>
      <c r="J270" s="165"/>
    </row>
    <row r="271" spans="9:10">
      <c r="I271" s="165"/>
      <c r="J271" s="165"/>
    </row>
    <row r="272" spans="9:10">
      <c r="I272" s="165"/>
      <c r="J272" s="165"/>
    </row>
    <row r="273" spans="9:10">
      <c r="I273" s="165"/>
      <c r="J273" s="165"/>
    </row>
    <row r="274" spans="9:10">
      <c r="I274" s="165"/>
      <c r="J274" s="165"/>
    </row>
    <row r="275" spans="9:10">
      <c r="I275" s="165"/>
      <c r="J275" s="165"/>
    </row>
    <row r="276" spans="9:10">
      <c r="I276" s="165"/>
      <c r="J276" s="165"/>
    </row>
    <row r="277" spans="9:10">
      <c r="I277" s="165"/>
      <c r="J277" s="165"/>
    </row>
    <row r="278" spans="9:10">
      <c r="I278" s="165"/>
      <c r="J278" s="165"/>
    </row>
    <row r="279" spans="9:10">
      <c r="I279" s="165"/>
      <c r="J279" s="165"/>
    </row>
    <row r="280" spans="9:10">
      <c r="I280" s="165"/>
      <c r="J280" s="165"/>
    </row>
    <row r="281" spans="9:10">
      <c r="I281" s="165"/>
      <c r="J281" s="165"/>
    </row>
    <row r="282" spans="9:10">
      <c r="I282" s="165"/>
      <c r="J282" s="165"/>
    </row>
    <row r="283" spans="9:10">
      <c r="I283" s="165"/>
      <c r="J283" s="165"/>
    </row>
    <row r="284" spans="9:10">
      <c r="I284" s="165"/>
      <c r="J284" s="165"/>
    </row>
    <row r="285" spans="9:10">
      <c r="I285" s="165"/>
      <c r="J285" s="165"/>
    </row>
    <row r="286" spans="9:10">
      <c r="I286" s="165"/>
      <c r="J286" s="165"/>
    </row>
    <row r="287" spans="9:10">
      <c r="I287" s="165"/>
      <c r="J287" s="165"/>
    </row>
    <row r="288" spans="9:10">
      <c r="I288" s="165"/>
      <c r="J288" s="165"/>
    </row>
    <row r="289" spans="9:10">
      <c r="I289" s="165"/>
      <c r="J289" s="165"/>
    </row>
    <row r="290" spans="9:10">
      <c r="I290" s="165"/>
      <c r="J290" s="165"/>
    </row>
    <row r="291" spans="9:10">
      <c r="I291" s="165"/>
      <c r="J291" s="165"/>
    </row>
    <row r="292" spans="9:10">
      <c r="I292" s="165"/>
      <c r="J292" s="165"/>
    </row>
    <row r="293" spans="9:10">
      <c r="I293" s="165"/>
      <c r="J293" s="165"/>
    </row>
    <row r="294" spans="9:10">
      <c r="I294" s="165"/>
      <c r="J294" s="165"/>
    </row>
    <row r="295" spans="9:10">
      <c r="I295" s="165"/>
      <c r="J295" s="165"/>
    </row>
    <row r="296" spans="9:10">
      <c r="I296" s="165"/>
      <c r="J296" s="165"/>
    </row>
    <row r="297" spans="9:10">
      <c r="I297" s="165"/>
      <c r="J297" s="165"/>
    </row>
    <row r="298" spans="9:10">
      <c r="I298" s="165"/>
      <c r="J298" s="165"/>
    </row>
    <row r="299" spans="9:10">
      <c r="I299" s="165"/>
      <c r="J299" s="165"/>
    </row>
    <row r="300" spans="9:10">
      <c r="I300" s="165"/>
      <c r="J300" s="165"/>
    </row>
    <row r="301" spans="9:10">
      <c r="I301" s="165"/>
      <c r="J301" s="165"/>
    </row>
    <row r="302" spans="9:10">
      <c r="I302" s="165"/>
      <c r="J302" s="165"/>
    </row>
    <row r="303" spans="9:10">
      <c r="I303" s="165"/>
      <c r="J303" s="165"/>
    </row>
    <row r="304" spans="9:10">
      <c r="I304" s="165"/>
      <c r="J304" s="165"/>
    </row>
    <row r="305" spans="9:10">
      <c r="I305" s="165"/>
      <c r="J305" s="165"/>
    </row>
    <row r="306" spans="9:10">
      <c r="I306" s="165"/>
      <c r="J306" s="165"/>
    </row>
    <row r="307" spans="9:10">
      <c r="I307" s="165"/>
      <c r="J307" s="165"/>
    </row>
    <row r="308" spans="9:10">
      <c r="I308" s="165"/>
      <c r="J308" s="165"/>
    </row>
    <row r="309" spans="9:10">
      <c r="I309" s="165"/>
      <c r="J309" s="165"/>
    </row>
    <row r="310" spans="9:10">
      <c r="I310" s="165"/>
      <c r="J310" s="165"/>
    </row>
    <row r="311" spans="9:10">
      <c r="I311" s="165"/>
      <c r="J311" s="165"/>
    </row>
    <row r="312" spans="9:10">
      <c r="I312" s="165"/>
      <c r="J312" s="165"/>
    </row>
    <row r="313" spans="9:10">
      <c r="I313" s="165"/>
      <c r="J313" s="165"/>
    </row>
    <row r="314" spans="9:10">
      <c r="I314" s="165"/>
      <c r="J314" s="165"/>
    </row>
    <row r="315" spans="9:10">
      <c r="I315" s="165"/>
      <c r="J315" s="165"/>
    </row>
    <row r="316" spans="9:10">
      <c r="I316" s="165"/>
      <c r="J316" s="165"/>
    </row>
    <row r="317" spans="9:10">
      <c r="I317" s="165"/>
      <c r="J317" s="165"/>
    </row>
    <row r="318" spans="9:10">
      <c r="I318" s="165"/>
      <c r="J318" s="165"/>
    </row>
    <row r="319" spans="9:10">
      <c r="I319" s="165"/>
      <c r="J319" s="165"/>
    </row>
    <row r="320" spans="9:10">
      <c r="I320" s="165"/>
      <c r="J320" s="165"/>
    </row>
    <row r="321" spans="9:10">
      <c r="I321" s="165"/>
      <c r="J321" s="165"/>
    </row>
    <row r="322" spans="9:10">
      <c r="I322" s="165"/>
      <c r="J322" s="165"/>
    </row>
    <row r="323" spans="9:10">
      <c r="I323" s="165"/>
      <c r="J323" s="165"/>
    </row>
    <row r="324" spans="9:10">
      <c r="I324" s="165"/>
      <c r="J324" s="165"/>
    </row>
    <row r="325" spans="9:10">
      <c r="I325" s="165"/>
      <c r="J325" s="165"/>
    </row>
    <row r="326" spans="9:10">
      <c r="I326" s="165"/>
      <c r="J326" s="165"/>
    </row>
    <row r="327" spans="9:10">
      <c r="I327" s="165"/>
      <c r="J327" s="165"/>
    </row>
    <row r="328" spans="9:10">
      <c r="I328" s="165"/>
      <c r="J328" s="165"/>
    </row>
    <row r="329" spans="9:10">
      <c r="I329" s="165"/>
      <c r="J329" s="165"/>
    </row>
    <row r="330" spans="9:10">
      <c r="I330" s="165"/>
      <c r="J330" s="165"/>
    </row>
    <row r="331" spans="9:10">
      <c r="I331" s="165"/>
      <c r="J331" s="165"/>
    </row>
    <row r="332" spans="9:10">
      <c r="I332" s="165"/>
      <c r="J332" s="165"/>
    </row>
    <row r="333" spans="9:10">
      <c r="I333" s="165"/>
      <c r="J333" s="165"/>
    </row>
    <row r="334" spans="9:10">
      <c r="I334" s="165"/>
      <c r="J334" s="165"/>
    </row>
    <row r="335" spans="9:10">
      <c r="I335" s="165"/>
      <c r="J335" s="165"/>
    </row>
    <row r="336" spans="9:10">
      <c r="I336" s="165"/>
      <c r="J336" s="165"/>
    </row>
    <row r="337" spans="9:10">
      <c r="I337" s="165"/>
      <c r="J337" s="165"/>
    </row>
    <row r="338" spans="9:10">
      <c r="I338" s="165"/>
      <c r="J338" s="165"/>
    </row>
    <row r="339" spans="9:10">
      <c r="I339" s="165"/>
      <c r="J339" s="165"/>
    </row>
    <row r="340" spans="9:10">
      <c r="I340" s="165"/>
      <c r="J340" s="165"/>
    </row>
    <row r="341" spans="9:10">
      <c r="I341" s="165"/>
      <c r="J341" s="165"/>
    </row>
    <row r="342" spans="9:10">
      <c r="I342" s="165"/>
      <c r="J342" s="165"/>
    </row>
    <row r="343" spans="9:10">
      <c r="I343" s="165"/>
      <c r="J343" s="165"/>
    </row>
    <row r="344" spans="9:10">
      <c r="I344" s="165"/>
      <c r="J344" s="165"/>
    </row>
    <row r="345" spans="9:10">
      <c r="I345" s="165"/>
      <c r="J345" s="165"/>
    </row>
    <row r="346" spans="9:10">
      <c r="I346" s="165"/>
      <c r="J346" s="165"/>
    </row>
    <row r="347" spans="9:10">
      <c r="I347" s="165"/>
      <c r="J347" s="165"/>
    </row>
    <row r="348" spans="9:10">
      <c r="I348" s="165"/>
      <c r="J348" s="165"/>
    </row>
    <row r="349" spans="9:10">
      <c r="I349" s="165"/>
      <c r="J349" s="165"/>
    </row>
    <row r="350" spans="9:10">
      <c r="I350" s="165"/>
      <c r="J350" s="165"/>
    </row>
    <row r="351" spans="9:10">
      <c r="I351" s="165"/>
      <c r="J351" s="165"/>
    </row>
    <row r="352" spans="9:10">
      <c r="I352" s="165"/>
      <c r="J352" s="165"/>
    </row>
    <row r="353" spans="9:10">
      <c r="I353" s="165"/>
      <c r="J353" s="165"/>
    </row>
    <row r="354" spans="9:10">
      <c r="I354" s="165"/>
      <c r="J354" s="165"/>
    </row>
    <row r="355" spans="9:10">
      <c r="I355" s="165"/>
      <c r="J355" s="165"/>
    </row>
    <row r="356" spans="9:10">
      <c r="I356" s="165"/>
      <c r="J356" s="165"/>
    </row>
    <row r="357" spans="9:10">
      <c r="I357" s="165"/>
      <c r="J357" s="165"/>
    </row>
    <row r="358" spans="9:10">
      <c r="I358" s="165"/>
      <c r="J358" s="165"/>
    </row>
    <row r="359" spans="9:10">
      <c r="I359" s="165"/>
      <c r="J359" s="165"/>
    </row>
    <row r="360" spans="9:10">
      <c r="I360" s="165"/>
      <c r="J360" s="165"/>
    </row>
    <row r="361" spans="9:10">
      <c r="I361" s="165"/>
      <c r="J361" s="165"/>
    </row>
    <row r="362" spans="9:10">
      <c r="I362" s="165"/>
      <c r="J362" s="165"/>
    </row>
    <row r="363" spans="9:10">
      <c r="I363" s="165"/>
      <c r="J363" s="165"/>
    </row>
    <row r="364" spans="9:10">
      <c r="I364" s="165"/>
      <c r="J364" s="165"/>
    </row>
    <row r="365" spans="9:10">
      <c r="I365" s="165"/>
      <c r="J365" s="165"/>
    </row>
    <row r="366" spans="9:10">
      <c r="I366" s="165"/>
      <c r="J366" s="165"/>
    </row>
    <row r="367" spans="9:10">
      <c r="I367" s="165"/>
      <c r="J367" s="165"/>
    </row>
    <row r="368" spans="9:10">
      <c r="I368" s="165"/>
      <c r="J368" s="165"/>
    </row>
    <row r="369" spans="9:10">
      <c r="I369" s="165"/>
      <c r="J369" s="165"/>
    </row>
    <row r="370" spans="9:10">
      <c r="I370" s="165"/>
      <c r="J370" s="165"/>
    </row>
    <row r="371" spans="9:10">
      <c r="I371" s="165"/>
      <c r="J371" s="165"/>
    </row>
    <row r="372" spans="9:10">
      <c r="I372" s="165"/>
      <c r="J372" s="165"/>
    </row>
    <row r="373" spans="9:10">
      <c r="I373" s="165"/>
      <c r="J373" s="165"/>
    </row>
    <row r="374" spans="9:10">
      <c r="I374" s="165"/>
      <c r="J374" s="165"/>
    </row>
    <row r="375" spans="9:10">
      <c r="I375" s="165"/>
      <c r="J375" s="165"/>
    </row>
    <row r="376" spans="9:10">
      <c r="I376" s="165"/>
      <c r="J376" s="165"/>
    </row>
    <row r="377" spans="9:10">
      <c r="I377" s="165"/>
      <c r="J377" s="165"/>
    </row>
    <row r="378" spans="9:10">
      <c r="I378" s="165"/>
      <c r="J378" s="165"/>
    </row>
    <row r="379" spans="9:10">
      <c r="I379" s="165"/>
      <c r="J379" s="165"/>
    </row>
    <row r="380" spans="9:10">
      <c r="I380" s="165"/>
      <c r="J380" s="165"/>
    </row>
    <row r="381" spans="9:10">
      <c r="I381" s="165"/>
      <c r="J381" s="165"/>
    </row>
    <row r="382" spans="9:10">
      <c r="I382" s="165"/>
      <c r="J382" s="165"/>
    </row>
    <row r="383" spans="9:10">
      <c r="I383" s="165"/>
      <c r="J383" s="165"/>
    </row>
    <row r="384" spans="9:10">
      <c r="I384" s="165"/>
      <c r="J384" s="165"/>
    </row>
    <row r="385" spans="9:10">
      <c r="I385" s="165"/>
      <c r="J385" s="165"/>
    </row>
    <row r="386" spans="9:10">
      <c r="I386" s="165"/>
      <c r="J386" s="165"/>
    </row>
    <row r="387" spans="9:10">
      <c r="I387" s="165"/>
      <c r="J387" s="165"/>
    </row>
    <row r="388" spans="9:10">
      <c r="I388" s="165"/>
      <c r="J388" s="165"/>
    </row>
    <row r="389" spans="9:10">
      <c r="I389" s="165"/>
      <c r="J389" s="165"/>
    </row>
    <row r="390" spans="9:10">
      <c r="I390" s="165"/>
      <c r="J390" s="165"/>
    </row>
    <row r="391" spans="9:10">
      <c r="I391" s="165"/>
      <c r="J391" s="165"/>
    </row>
    <row r="392" spans="9:10">
      <c r="I392" s="165"/>
      <c r="J392" s="165"/>
    </row>
    <row r="393" spans="9:10">
      <c r="I393" s="165"/>
      <c r="J393" s="165"/>
    </row>
    <row r="394" spans="9:10">
      <c r="I394" s="165"/>
      <c r="J394" s="165"/>
    </row>
    <row r="395" spans="9:10">
      <c r="I395" s="165"/>
      <c r="J395" s="165"/>
    </row>
    <row r="396" spans="9:10">
      <c r="I396" s="165"/>
      <c r="J396" s="165"/>
    </row>
    <row r="397" spans="9:10">
      <c r="I397" s="165"/>
      <c r="J397" s="165"/>
    </row>
    <row r="398" spans="9:10">
      <c r="I398" s="165"/>
      <c r="J398" s="165"/>
    </row>
    <row r="399" spans="9:10">
      <c r="I399" s="165"/>
      <c r="J399" s="165"/>
    </row>
    <row r="400" spans="9:10">
      <c r="I400" s="165"/>
      <c r="J400" s="165"/>
    </row>
    <row r="401" spans="9:10">
      <c r="I401" s="165"/>
      <c r="J401" s="165"/>
    </row>
    <row r="402" spans="9:10">
      <c r="I402" s="165"/>
      <c r="J402" s="165"/>
    </row>
    <row r="403" spans="9:10">
      <c r="I403" s="165"/>
      <c r="J403" s="165"/>
    </row>
    <row r="404" spans="9:10">
      <c r="I404" s="165"/>
      <c r="J404" s="165"/>
    </row>
    <row r="405" spans="9:10">
      <c r="I405" s="165"/>
      <c r="J405" s="165"/>
    </row>
    <row r="406" spans="9:10">
      <c r="I406" s="165"/>
      <c r="J406" s="165"/>
    </row>
    <row r="407" spans="9:10">
      <c r="I407" s="165"/>
      <c r="J407" s="165"/>
    </row>
    <row r="408" spans="9:10">
      <c r="I408" s="165"/>
      <c r="J408" s="165"/>
    </row>
    <row r="409" spans="9:10">
      <c r="I409" s="165"/>
      <c r="J409" s="165"/>
    </row>
    <row r="410" spans="9:10">
      <c r="I410" s="165"/>
      <c r="J410" s="165"/>
    </row>
    <row r="411" spans="9:10">
      <c r="I411" s="165"/>
      <c r="J411" s="165"/>
    </row>
    <row r="412" spans="9:10">
      <c r="I412" s="165"/>
      <c r="J412" s="165"/>
    </row>
    <row r="413" spans="9:10">
      <c r="I413" s="165"/>
      <c r="J413" s="165"/>
    </row>
    <row r="414" spans="9:10">
      <c r="I414" s="165"/>
      <c r="J414" s="165"/>
    </row>
    <row r="415" spans="9:10">
      <c r="I415" s="165"/>
      <c r="J415" s="165"/>
    </row>
    <row r="416" spans="9:10">
      <c r="I416" s="165"/>
      <c r="J416" s="165"/>
    </row>
    <row r="417" spans="9:10">
      <c r="I417" s="165"/>
      <c r="J417" s="165"/>
    </row>
    <row r="418" spans="9:10">
      <c r="I418" s="165"/>
      <c r="J418" s="165"/>
    </row>
    <row r="419" spans="9:10">
      <c r="I419" s="165"/>
      <c r="J419" s="165"/>
    </row>
    <row r="420" spans="9:10">
      <c r="I420" s="165"/>
      <c r="J420" s="165"/>
    </row>
    <row r="421" spans="9:10">
      <c r="I421" s="165"/>
      <c r="J421" s="165"/>
    </row>
    <row r="422" spans="9:10">
      <c r="I422" s="165"/>
      <c r="J422" s="165"/>
    </row>
    <row r="423" spans="9:10">
      <c r="I423" s="165"/>
      <c r="J423" s="165"/>
    </row>
    <row r="424" spans="9:10">
      <c r="I424" s="165"/>
      <c r="J424" s="165"/>
    </row>
    <row r="425" spans="9:10">
      <c r="I425" s="165"/>
      <c r="J425" s="165"/>
    </row>
    <row r="426" spans="9:10">
      <c r="I426" s="165"/>
      <c r="J426" s="165"/>
    </row>
    <row r="427" spans="9:10">
      <c r="I427" s="165"/>
      <c r="J427" s="165"/>
    </row>
    <row r="428" spans="9:10">
      <c r="I428" s="165"/>
      <c r="J428" s="165"/>
    </row>
    <row r="429" spans="9:10">
      <c r="I429" s="165"/>
      <c r="J429" s="165"/>
    </row>
    <row r="430" spans="9:10">
      <c r="I430" s="165"/>
      <c r="J430" s="165"/>
    </row>
    <row r="431" spans="9:10">
      <c r="I431" s="165"/>
      <c r="J431" s="165"/>
    </row>
    <row r="432" spans="9:10">
      <c r="I432" s="165"/>
      <c r="J432" s="165"/>
    </row>
    <row r="433" spans="9:10">
      <c r="I433" s="165"/>
      <c r="J433" s="165"/>
    </row>
    <row r="434" spans="9:10">
      <c r="I434" s="165"/>
      <c r="J434" s="165"/>
    </row>
    <row r="435" spans="9:10">
      <c r="I435" s="165"/>
      <c r="J435" s="165"/>
    </row>
    <row r="436" spans="9:10">
      <c r="I436" s="165"/>
      <c r="J436" s="165"/>
    </row>
    <row r="437" spans="9:10">
      <c r="I437" s="165"/>
      <c r="J437" s="165"/>
    </row>
    <row r="438" spans="9:10">
      <c r="I438" s="165"/>
      <c r="J438" s="165"/>
    </row>
    <row r="439" spans="9:10">
      <c r="I439" s="165"/>
      <c r="J439" s="165"/>
    </row>
    <row r="440" spans="9:10">
      <c r="I440" s="165"/>
      <c r="J440" s="165"/>
    </row>
    <row r="441" spans="9:10">
      <c r="I441" s="165"/>
      <c r="J441" s="165"/>
    </row>
    <row r="442" spans="9:10">
      <c r="I442" s="165"/>
      <c r="J442" s="165"/>
    </row>
    <row r="443" spans="9:10">
      <c r="I443" s="165"/>
      <c r="J443" s="165"/>
    </row>
    <row r="444" spans="9:10">
      <c r="I444" s="165"/>
      <c r="J444" s="165"/>
    </row>
    <row r="445" spans="9:10">
      <c r="I445" s="165"/>
      <c r="J445" s="165"/>
    </row>
    <row r="446" spans="9:10">
      <c r="I446" s="165"/>
      <c r="J446" s="165"/>
    </row>
    <row r="447" spans="9:10">
      <c r="I447" s="165"/>
      <c r="J447" s="165"/>
    </row>
    <row r="448" spans="9:10">
      <c r="I448" s="165"/>
      <c r="J448" s="165"/>
    </row>
    <row r="449" spans="9:10">
      <c r="I449" s="165"/>
      <c r="J449" s="165"/>
    </row>
    <row r="450" spans="9:10">
      <c r="I450" s="165"/>
      <c r="J450" s="165"/>
    </row>
    <row r="451" spans="9:10">
      <c r="I451" s="165"/>
      <c r="J451" s="165"/>
    </row>
    <row r="452" spans="9:10">
      <c r="I452" s="165"/>
      <c r="J452" s="165"/>
    </row>
    <row r="453" spans="9:10">
      <c r="I453" s="165"/>
      <c r="J453" s="165"/>
    </row>
    <row r="454" spans="9:10">
      <c r="I454" s="165"/>
      <c r="J454" s="165"/>
    </row>
    <row r="455" spans="9:10">
      <c r="I455" s="165"/>
      <c r="J455" s="165"/>
    </row>
    <row r="456" spans="9:10">
      <c r="I456" s="165"/>
      <c r="J456" s="165"/>
    </row>
    <row r="457" spans="9:10">
      <c r="I457" s="165"/>
      <c r="J457" s="165"/>
    </row>
    <row r="458" spans="9:10">
      <c r="I458" s="165"/>
      <c r="J458" s="165"/>
    </row>
    <row r="459" spans="9:10">
      <c r="I459" s="165"/>
      <c r="J459" s="165"/>
    </row>
    <row r="460" spans="9:10">
      <c r="I460" s="165"/>
      <c r="J460" s="165"/>
    </row>
    <row r="461" spans="9:10">
      <c r="I461" s="165"/>
      <c r="J461" s="165"/>
    </row>
    <row r="462" spans="9:10">
      <c r="I462" s="165"/>
      <c r="J462" s="165"/>
    </row>
    <row r="463" spans="9:10">
      <c r="I463" s="165"/>
      <c r="J463" s="165"/>
    </row>
    <row r="464" spans="9:10">
      <c r="I464" s="165"/>
      <c r="J464" s="165"/>
    </row>
    <row r="465" spans="9:10">
      <c r="I465" s="165"/>
      <c r="J465" s="165"/>
    </row>
    <row r="466" spans="9:10">
      <c r="I466" s="165"/>
      <c r="J466" s="165"/>
    </row>
    <row r="467" spans="9:10">
      <c r="I467" s="165"/>
      <c r="J467" s="165"/>
    </row>
    <row r="468" spans="9:10">
      <c r="I468" s="165"/>
      <c r="J468" s="165"/>
    </row>
    <row r="469" spans="9:10">
      <c r="I469" s="165"/>
      <c r="J469" s="165"/>
    </row>
    <row r="470" spans="9:10">
      <c r="I470" s="165"/>
      <c r="J470" s="165"/>
    </row>
    <row r="471" spans="9:10">
      <c r="I471" s="165"/>
      <c r="J471" s="165"/>
    </row>
    <row r="472" spans="9:10">
      <c r="I472" s="165"/>
      <c r="J472" s="165"/>
    </row>
    <row r="473" spans="9:10">
      <c r="I473" s="165"/>
      <c r="J473" s="165"/>
    </row>
    <row r="474" spans="9:10">
      <c r="I474" s="165"/>
      <c r="J474" s="165"/>
    </row>
    <row r="475" spans="9:10">
      <c r="I475" s="165"/>
      <c r="J475" s="165"/>
    </row>
    <row r="476" spans="9:10">
      <c r="I476" s="165"/>
      <c r="J476" s="165"/>
    </row>
  </sheetData>
  <autoFilter ref="A5:E44" xr:uid="{6C7A9CB1-031C-4F29-8C13-FFFE739A7C7E}"/>
  <printOptions horizontalCentered="1" headings="1" gridLines="1"/>
  <pageMargins left="0" right="0" top="0.75" bottom="0.25" header="0.25" footer="0.25"/>
  <pageSetup scale="45" fitToHeight="2" orientation="landscape" r:id="rId1"/>
  <headerFooter>
    <oddFooter>Page &amp;P of &amp;N</oddFooter>
  </headerFooter>
  <rowBreaks count="1" manualBreakCount="1">
    <brk id="45" max="2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50903-0357-4553-8C0B-29A8E1D7D827}">
  <sheetPr>
    <tabColor rgb="FF00B050"/>
    <pageSetUpPr fitToPage="1"/>
  </sheetPr>
  <dimension ref="A1:AO66"/>
  <sheetViews>
    <sheetView tabSelected="1" view="pageBreakPreview" zoomScale="75" zoomScaleNormal="100" zoomScaleSheetLayoutView="75" workbookViewId="0">
      <pane xSplit="2" ySplit="7" topLeftCell="N8" activePane="bottomRight" state="frozen"/>
      <selection activeCell="Y25" sqref="Y25"/>
      <selection pane="topRight" activeCell="Y25" sqref="Y25"/>
      <selection pane="bottomLeft" activeCell="Y25" sqref="Y25"/>
      <selection pane="bottomRight" activeCell="Y25" sqref="Y25"/>
    </sheetView>
  </sheetViews>
  <sheetFormatPr defaultColWidth="8.8125" defaultRowHeight="15.75"/>
  <cols>
    <col min="1" max="1" width="24.5625" style="810" customWidth="1"/>
    <col min="2" max="2" width="14.3125" style="811" hidden="1" customWidth="1"/>
    <col min="3" max="3" width="11.0625" style="812" customWidth="1"/>
    <col min="4" max="5" width="10.8125" style="813" customWidth="1"/>
    <col min="6" max="9" width="11.0625" style="812" hidden="1" customWidth="1"/>
    <col min="10" max="10" width="9.8125" style="810" customWidth="1"/>
    <col min="11" max="11" width="12.5625" style="810" customWidth="1"/>
    <col min="12" max="12" width="10.5625" style="810" customWidth="1"/>
    <col min="13" max="13" width="10.3125" style="810" customWidth="1"/>
    <col min="14" max="14" width="9.8125" style="810" customWidth="1"/>
    <col min="15" max="16" width="8.8125" style="810" customWidth="1"/>
    <col min="17" max="19" width="9.8125" style="810" customWidth="1"/>
    <col min="20" max="20" width="8.8125" style="810" customWidth="1"/>
    <col min="21" max="22" width="9.8125" style="810" customWidth="1"/>
    <col min="23" max="23" width="10.3125" style="810" customWidth="1"/>
    <col min="24" max="24" width="9.8125" style="810" customWidth="1"/>
    <col min="25" max="25" width="12.5" style="810" customWidth="1"/>
    <col min="28" max="28" width="16.0625" style="816" customWidth="1"/>
    <col min="29" max="29" width="11.5" style="817" customWidth="1"/>
    <col min="30" max="30" width="9.8125" style="810" customWidth="1"/>
    <col min="31" max="31" width="11.5" style="817" hidden="1" customWidth="1"/>
    <col min="32" max="41" width="11.5" style="817" customWidth="1"/>
    <col min="42" max="16384" width="8.8125" style="810"/>
  </cols>
  <sheetData>
    <row r="1" spans="1:41" s="446" customFormat="1" ht="18">
      <c r="A1" s="1" t="s">
        <v>0</v>
      </c>
      <c r="B1" s="8"/>
      <c r="C1" s="4"/>
      <c r="D1" s="780"/>
      <c r="E1" s="780"/>
      <c r="F1" s="4"/>
      <c r="G1" s="4"/>
      <c r="H1" s="4"/>
      <c r="I1" s="4"/>
      <c r="J1" s="4"/>
      <c r="K1" s="5"/>
      <c r="AB1" s="781"/>
    </row>
    <row r="2" spans="1:41" s="446" customFormat="1" ht="18">
      <c r="A2" s="11" t="s">
        <v>1167</v>
      </c>
      <c r="B2" s="658"/>
      <c r="C2" s="4"/>
      <c r="D2" s="780"/>
      <c r="E2" s="780"/>
      <c r="F2" s="4"/>
      <c r="G2" s="4"/>
      <c r="H2" s="4"/>
      <c r="I2" s="4"/>
      <c r="J2" s="4"/>
      <c r="K2" s="5"/>
      <c r="AB2" s="781"/>
    </row>
    <row r="3" spans="1:41" s="446" customFormat="1" ht="18">
      <c r="A3" s="14" t="s">
        <v>1126</v>
      </c>
      <c r="B3" s="4"/>
      <c r="C3" s="4"/>
      <c r="D3" s="780"/>
      <c r="E3" s="780"/>
      <c r="F3" s="4"/>
      <c r="G3" s="4"/>
      <c r="H3" s="4"/>
      <c r="I3" s="4"/>
      <c r="J3" s="5"/>
      <c r="AB3" s="781"/>
    </row>
    <row r="4" spans="1:41" s="446" customFormat="1">
      <c r="A4" s="14"/>
      <c r="B4" s="89"/>
      <c r="C4" s="89"/>
      <c r="D4" s="782"/>
      <c r="E4" s="782"/>
      <c r="F4" s="89"/>
      <c r="G4" s="89"/>
      <c r="H4" s="89"/>
      <c r="I4" s="89"/>
      <c r="J4" s="256"/>
      <c r="AB4" s="781"/>
    </row>
    <row r="5" spans="1:41" s="793" customFormat="1" ht="54">
      <c r="A5" s="783" t="s">
        <v>1127</v>
      </c>
      <c r="B5" s="783" t="s">
        <v>1128</v>
      </c>
      <c r="C5" s="784" t="s">
        <v>1129</v>
      </c>
      <c r="D5" s="785" t="s">
        <v>1130</v>
      </c>
      <c r="E5" s="785" t="s">
        <v>1131</v>
      </c>
      <c r="F5" s="786">
        <v>2021</v>
      </c>
      <c r="G5" s="787"/>
      <c r="H5" s="787"/>
      <c r="I5" s="788"/>
      <c r="J5" s="855">
        <v>2022</v>
      </c>
      <c r="K5" s="856"/>
      <c r="L5" s="856"/>
      <c r="M5" s="857"/>
      <c r="N5" s="858">
        <v>2023</v>
      </c>
      <c r="O5" s="859"/>
      <c r="P5" s="859"/>
      <c r="Q5" s="860"/>
      <c r="R5" s="858">
        <v>2024</v>
      </c>
      <c r="S5" s="859"/>
      <c r="T5" s="859"/>
      <c r="U5" s="860"/>
      <c r="V5" s="789" t="s">
        <v>25</v>
      </c>
      <c r="W5" s="790" t="s">
        <v>1132</v>
      </c>
      <c r="X5" s="791"/>
      <c r="Y5" s="792" t="s">
        <v>1133</v>
      </c>
      <c r="AB5" s="861" t="s">
        <v>25</v>
      </c>
      <c r="AC5" s="862" t="s">
        <v>148</v>
      </c>
      <c r="AD5" s="863"/>
      <c r="AE5" s="862"/>
      <c r="AF5" s="862"/>
      <c r="AG5" s="862"/>
      <c r="AH5" s="864"/>
      <c r="AI5" s="852"/>
      <c r="AJ5" s="852"/>
      <c r="AK5" s="852"/>
      <c r="AL5" s="852"/>
      <c r="AM5" s="852"/>
      <c r="AN5" s="852"/>
      <c r="AO5" s="852"/>
    </row>
    <row r="6" spans="1:41" s="802" customFormat="1" ht="19.899999999999999" customHeight="1">
      <c r="A6" s="794"/>
      <c r="B6" s="794"/>
      <c r="C6" s="795"/>
      <c r="D6" s="796"/>
      <c r="E6" s="796"/>
      <c r="F6" s="797" t="s">
        <v>1134</v>
      </c>
      <c r="G6" s="798"/>
      <c r="H6" s="798"/>
      <c r="I6" s="798"/>
      <c r="J6" s="798"/>
      <c r="K6" s="798"/>
      <c r="L6" s="798"/>
      <c r="M6" s="798"/>
      <c r="N6" s="798"/>
      <c r="O6" s="798"/>
      <c r="P6" s="798"/>
      <c r="Q6" s="798"/>
      <c r="R6" s="798"/>
      <c r="S6" s="798"/>
      <c r="T6" s="798"/>
      <c r="U6" s="799"/>
      <c r="V6" s="799"/>
      <c r="W6" s="798"/>
      <c r="X6" s="800"/>
      <c r="Y6" s="801"/>
      <c r="AB6" s="861"/>
      <c r="AC6" s="862"/>
      <c r="AD6" s="863"/>
      <c r="AE6" s="862"/>
      <c r="AF6" s="862"/>
      <c r="AG6" s="862"/>
      <c r="AH6" s="865"/>
      <c r="AI6" s="853"/>
      <c r="AJ6" s="853"/>
      <c r="AK6" s="853"/>
      <c r="AL6" s="853"/>
      <c r="AM6" s="853"/>
      <c r="AN6" s="853"/>
      <c r="AO6" s="853"/>
    </row>
    <row r="7" spans="1:41">
      <c r="A7" s="803"/>
      <c r="B7" s="804"/>
      <c r="C7" s="804"/>
      <c r="D7" s="805"/>
      <c r="E7" s="805"/>
      <c r="F7" s="806" t="s">
        <v>1135</v>
      </c>
      <c r="G7" s="806" t="s">
        <v>1136</v>
      </c>
      <c r="H7" s="806" t="s">
        <v>1137</v>
      </c>
      <c r="I7" s="806" t="s">
        <v>1138</v>
      </c>
      <c r="J7" s="804" t="s">
        <v>1135</v>
      </c>
      <c r="K7" s="804" t="s">
        <v>1136</v>
      </c>
      <c r="L7" s="804" t="s">
        <v>1137</v>
      </c>
      <c r="M7" s="804" t="s">
        <v>1138</v>
      </c>
      <c r="N7" s="807" t="s">
        <v>1135</v>
      </c>
      <c r="O7" s="807" t="s">
        <v>1136</v>
      </c>
      <c r="P7" s="807" t="s">
        <v>1139</v>
      </c>
      <c r="Q7" s="807" t="s">
        <v>1138</v>
      </c>
      <c r="R7" s="807" t="s">
        <v>1135</v>
      </c>
      <c r="S7" s="807" t="s">
        <v>1136</v>
      </c>
      <c r="T7" s="807" t="s">
        <v>1139</v>
      </c>
      <c r="U7" s="807" t="s">
        <v>1138</v>
      </c>
      <c r="V7" s="807"/>
      <c r="W7" s="804" t="s">
        <v>1138</v>
      </c>
      <c r="X7" s="808"/>
      <c r="Y7" s="809" t="s">
        <v>1138</v>
      </c>
      <c r="AB7" s="861"/>
      <c r="AC7" s="862"/>
      <c r="AD7" s="863"/>
      <c r="AE7" s="862"/>
      <c r="AF7" s="862"/>
      <c r="AG7" s="862"/>
      <c r="AH7" s="866"/>
      <c r="AI7" s="854"/>
      <c r="AJ7" s="854"/>
      <c r="AK7" s="854"/>
      <c r="AL7" s="854"/>
      <c r="AM7" s="854"/>
      <c r="AN7" s="854"/>
      <c r="AO7" s="854"/>
    </row>
    <row r="8" spans="1:41">
      <c r="J8" s="814"/>
      <c r="K8" s="814"/>
      <c r="L8" s="814"/>
      <c r="M8" s="814"/>
      <c r="N8" s="815"/>
      <c r="O8" s="815"/>
      <c r="P8" s="815"/>
      <c r="Q8" s="815"/>
      <c r="R8" s="815"/>
      <c r="S8" s="815"/>
      <c r="T8" s="815"/>
      <c r="U8" s="815"/>
      <c r="W8" s="814"/>
    </row>
    <row r="9" spans="1:41">
      <c r="A9" s="818" t="s">
        <v>685</v>
      </c>
      <c r="B9" s="819">
        <v>7</v>
      </c>
      <c r="C9" s="820">
        <v>7</v>
      </c>
      <c r="D9" s="820">
        <v>7</v>
      </c>
      <c r="E9" s="820">
        <v>7</v>
      </c>
      <c r="F9" s="820">
        <v>507964.54379999998</v>
      </c>
      <c r="G9" s="820">
        <v>151188.86411405451</v>
      </c>
      <c r="H9" s="820">
        <v>131993.564754241</v>
      </c>
      <c r="I9" s="820">
        <v>791146.97266829549</v>
      </c>
      <c r="J9" s="821">
        <f>'[3]Staff Details 2022-2024'!J186</f>
        <v>444782.68663300003</v>
      </c>
      <c r="K9" s="821">
        <f>'[3]Staff Details 2022-2024'!M186</f>
        <v>140267.27115861667</v>
      </c>
      <c r="L9" s="821">
        <f>M9-J9-K9</f>
        <v>118551.06136750287</v>
      </c>
      <c r="M9" s="821">
        <f>'[3]Staff Details 2022-2024'!T186</f>
        <v>703601.01915911958</v>
      </c>
      <c r="N9" s="822">
        <f>'[3]Staff Details 2022-2024'!V186</f>
        <v>458126.16723199002</v>
      </c>
      <c r="O9" s="822">
        <f>'[3]Staff Details 2022-2024'!Y186</f>
        <v>147280.6347165475</v>
      </c>
      <c r="P9" s="822">
        <f>Q9-N9-O9</f>
        <v>121668.79692143184</v>
      </c>
      <c r="Q9" s="822">
        <f>'[3]Staff Details 2022-2024'!AF186</f>
        <v>727075.59886996937</v>
      </c>
      <c r="R9" s="822">
        <f>'[3]Staff Details 2022-2024'!AH186</f>
        <v>471869.95224894979</v>
      </c>
      <c r="S9" s="822">
        <f>'[3]Staff Details 2022-2024'!AK186</f>
        <v>153171.8601052094</v>
      </c>
      <c r="T9" s="822">
        <f t="shared" ref="T9:T41" si="0">U9-R9-S9</f>
        <v>125586.86159278394</v>
      </c>
      <c r="U9" s="822">
        <f>'[3]Staff Details 2022-2024'!AR186</f>
        <v>750628.67394694313</v>
      </c>
      <c r="V9" s="823">
        <f t="shared" ref="V9:V41" si="1">Q9+U9</f>
        <v>1477704.2728169125</v>
      </c>
      <c r="W9" s="821">
        <f t="shared" ref="W9:W41" si="2">+M9+Q9+U9</f>
        <v>2181305.2919760318</v>
      </c>
      <c r="X9" s="823"/>
      <c r="Y9" s="823">
        <v>2304892.589669738</v>
      </c>
      <c r="AB9" s="816">
        <f>W9/Y9-1</f>
        <v>-5.3619547499788145E-2</v>
      </c>
      <c r="AD9" s="823"/>
    </row>
    <row r="10" spans="1:41">
      <c r="A10" s="818" t="s">
        <v>927</v>
      </c>
      <c r="B10" s="819">
        <v>7</v>
      </c>
      <c r="C10" s="820">
        <v>6</v>
      </c>
      <c r="D10" s="820">
        <v>6</v>
      </c>
      <c r="E10" s="820">
        <v>6</v>
      </c>
      <c r="F10" s="820">
        <v>590337.41786019143</v>
      </c>
      <c r="G10" s="820">
        <v>162175.10400000005</v>
      </c>
      <c r="H10" s="820">
        <v>280245.18845055246</v>
      </c>
      <c r="I10" s="820">
        <v>875986.81864505936</v>
      </c>
      <c r="J10" s="821">
        <f>'[3]Staff Details 2022-2024'!J187</f>
        <v>608047.540395997</v>
      </c>
      <c r="K10" s="821">
        <f>'[3]Staff Details 2022-2024'!M187</f>
        <v>166333.44000000003</v>
      </c>
      <c r="L10" s="821">
        <f t="shared" ref="L10:L41" si="3">M10-J10-K10</f>
        <v>131521.46184033391</v>
      </c>
      <c r="M10" s="821">
        <f>'[3]Staff Details 2022-2024'!T187</f>
        <v>905902.44223633094</v>
      </c>
      <c r="N10" s="822">
        <f>'[3]Staff Details 2022-2024'!V187</f>
        <v>626288.96660787694</v>
      </c>
      <c r="O10" s="822">
        <f>'[3]Staff Details 2022-2024'!Y187</f>
        <v>174650.11200000002</v>
      </c>
      <c r="P10" s="822">
        <f t="shared" ref="P10:P41" si="4">Q10-N10-O10</f>
        <v>134861.63367468299</v>
      </c>
      <c r="Q10" s="822">
        <f>'[3]Staff Details 2022-2024'!AF187</f>
        <v>935800.71228255995</v>
      </c>
      <c r="R10" s="822">
        <f>'[3]Staff Details 2022-2024'!AH187</f>
        <v>645077.63560611324</v>
      </c>
      <c r="S10" s="822">
        <f>'[3]Staff Details 2022-2024'!AK187</f>
        <v>181636.11648000003</v>
      </c>
      <c r="T10" s="822">
        <f t="shared" si="0"/>
        <v>139237.6814879842</v>
      </c>
      <c r="U10" s="822">
        <f>'[3]Staff Details 2022-2024'!AR187</f>
        <v>965951.43357409746</v>
      </c>
      <c r="V10" s="823">
        <f t="shared" si="1"/>
        <v>1901752.1458566575</v>
      </c>
      <c r="W10" s="821">
        <f t="shared" si="2"/>
        <v>2807654.5880929884</v>
      </c>
      <c r="X10" s="823"/>
      <c r="Y10" s="823">
        <v>2576341.5173795652</v>
      </c>
      <c r="AB10" s="816">
        <f>U10+W10</f>
        <v>3773606.0216670856</v>
      </c>
      <c r="AC10" s="824">
        <f>AB10+R10</f>
        <v>4418683.6572731985</v>
      </c>
      <c r="AD10" s="823"/>
    </row>
    <row r="11" spans="1:41">
      <c r="A11" s="818" t="s">
        <v>1024</v>
      </c>
      <c r="B11" s="819">
        <v>4</v>
      </c>
      <c r="C11" s="820">
        <v>3</v>
      </c>
      <c r="D11" s="820">
        <v>3</v>
      </c>
      <c r="E11" s="820">
        <v>3</v>
      </c>
      <c r="F11" s="820">
        <v>411120.85379999998</v>
      </c>
      <c r="G11" s="820">
        <v>47641.775999999998</v>
      </c>
      <c r="H11" s="820">
        <v>149400.13017260001</v>
      </c>
      <c r="I11" s="820">
        <v>564176.04264168791</v>
      </c>
      <c r="J11" s="821">
        <f>'[3]Staff Details 2022-2024'!J188</f>
        <v>423454.47941400006</v>
      </c>
      <c r="K11" s="821">
        <f>'[3]Staff Details 2022-2024'!M188</f>
        <v>48863.360000000001</v>
      </c>
      <c r="L11" s="821">
        <f t="shared" si="3"/>
        <v>110228.25026640155</v>
      </c>
      <c r="M11" s="821">
        <f>'[3]Staff Details 2022-2024'!T188</f>
        <v>582546.08968040161</v>
      </c>
      <c r="N11" s="822">
        <f>'[3]Staff Details 2022-2024'!V188</f>
        <v>436158.11379642005</v>
      </c>
      <c r="O11" s="822">
        <f>'[3]Staff Details 2022-2024'!Y188</f>
        <v>51306.528000000006</v>
      </c>
      <c r="P11" s="822">
        <f t="shared" si="4"/>
        <v>114136.97291180647</v>
      </c>
      <c r="Q11" s="822">
        <f>'[3]Staff Details 2022-2024'!AF188</f>
        <v>601601.61470822652</v>
      </c>
      <c r="R11" s="822">
        <f>'[3]Staff Details 2022-2024'!AH188</f>
        <v>449242.85721031268</v>
      </c>
      <c r="S11" s="822">
        <f>'[3]Staff Details 2022-2024'!AK188</f>
        <v>53358.789120000001</v>
      </c>
      <c r="T11" s="822">
        <f t="shared" si="0"/>
        <v>117838.88627064021</v>
      </c>
      <c r="U11" s="822">
        <f>'[3]Staff Details 2022-2024'!AR188</f>
        <v>620440.53260095289</v>
      </c>
      <c r="V11" s="823">
        <f t="shared" si="1"/>
        <v>1222042.1473091794</v>
      </c>
      <c r="W11" s="821">
        <f t="shared" si="2"/>
        <v>1804588.236989581</v>
      </c>
      <c r="X11" s="823"/>
      <c r="Y11" s="823">
        <v>1641340.3459635605</v>
      </c>
      <c r="AB11" s="816">
        <f t="shared" ref="AB11:AB37" si="5">W11/Y11-1</f>
        <v>9.946010979836406E-2</v>
      </c>
      <c r="AD11" s="823"/>
    </row>
    <row r="12" spans="1:41">
      <c r="A12" s="818" t="s">
        <v>1140</v>
      </c>
      <c r="B12" s="819">
        <v>3</v>
      </c>
      <c r="C12" s="820">
        <v>4</v>
      </c>
      <c r="D12" s="820">
        <v>4</v>
      </c>
      <c r="E12" s="820">
        <v>4</v>
      </c>
      <c r="F12" s="820">
        <v>258632.8352</v>
      </c>
      <c r="G12" s="820">
        <v>111200.28192000001</v>
      </c>
      <c r="H12" s="820">
        <v>177749.10912472801</v>
      </c>
      <c r="I12" s="820">
        <v>438521.00141605601</v>
      </c>
      <c r="J12" s="821">
        <f>'[3]Staff Details 2022-2024'!J189</f>
        <v>327961.10025599995</v>
      </c>
      <c r="K12" s="821">
        <f>'[3]Staff Details 2022-2024'!M189</f>
        <v>126461.42080000001</v>
      </c>
      <c r="L12" s="821">
        <f t="shared" si="3"/>
        <v>78749.834917592889</v>
      </c>
      <c r="M12" s="821">
        <f>'[3]Staff Details 2022-2024'!T189</f>
        <v>533172.35597359284</v>
      </c>
      <c r="N12" s="822">
        <f>'[3]Staff Details 2022-2024'!V189</f>
        <v>337799.93326367997</v>
      </c>
      <c r="O12" s="822">
        <f>'[3]Staff Details 2022-2024'!Y189</f>
        <v>130706.82400000001</v>
      </c>
      <c r="P12" s="822">
        <f t="shared" si="4"/>
        <v>86926.022385397358</v>
      </c>
      <c r="Q12" s="822">
        <f>'[3]Staff Details 2022-2024'!AF189</f>
        <v>555432.77964907733</v>
      </c>
      <c r="R12" s="822">
        <f>'[3]Staff Details 2022-2024'!AH189</f>
        <v>347933.93126159039</v>
      </c>
      <c r="S12" s="822">
        <f>'[3]Staff Details 2022-2024'!AK189</f>
        <v>135935.09696000002</v>
      </c>
      <c r="T12" s="822">
        <f t="shared" si="0"/>
        <v>89744.232844717946</v>
      </c>
      <c r="U12" s="822">
        <f>'[3]Staff Details 2022-2024'!AR189</f>
        <v>573613.26106630836</v>
      </c>
      <c r="V12" s="823">
        <f t="shared" si="1"/>
        <v>1129046.0407153857</v>
      </c>
      <c r="W12" s="821">
        <f t="shared" si="2"/>
        <v>1662218.3966889787</v>
      </c>
      <c r="X12" s="823"/>
      <c r="Y12" s="823">
        <v>1532521.0635625361</v>
      </c>
      <c r="AB12" s="816">
        <f t="shared" si="5"/>
        <v>8.463004927641582E-2</v>
      </c>
      <c r="AD12" s="823"/>
    </row>
    <row r="13" spans="1:41">
      <c r="A13" s="818" t="s">
        <v>1141</v>
      </c>
      <c r="B13" s="819">
        <v>19</v>
      </c>
      <c r="C13" s="820">
        <v>18</v>
      </c>
      <c r="D13" s="820">
        <v>18</v>
      </c>
      <c r="E13" s="820">
        <v>16</v>
      </c>
      <c r="F13" s="820">
        <v>1573237.4417599998</v>
      </c>
      <c r="G13" s="820">
        <v>400809.86400000006</v>
      </c>
      <c r="H13" s="820">
        <v>326723.76170720003</v>
      </c>
      <c r="I13" s="820">
        <v>2311490.0311741536</v>
      </c>
      <c r="J13" s="821">
        <f>'[3]Staff Details 2022-2024'!J190</f>
        <v>1603441.9331358001</v>
      </c>
      <c r="K13" s="821">
        <f>'[3]Staff Details 2022-2024'!M190</f>
        <v>406340.48</v>
      </c>
      <c r="L13" s="821">
        <f t="shared" si="3"/>
        <v>352157.52135775471</v>
      </c>
      <c r="M13" s="821">
        <f>'[3]Staff Details 2022-2024'!T190</f>
        <v>2361939.9344935548</v>
      </c>
      <c r="N13" s="822">
        <f>'[3]Staff Details 2022-2024'!V190</f>
        <v>1651545.1911298742</v>
      </c>
      <c r="O13" s="822">
        <f>'[3]Staff Details 2022-2024'!Y190</f>
        <v>423539.21600000001</v>
      </c>
      <c r="P13" s="822">
        <f t="shared" si="4"/>
        <v>359390.78446783242</v>
      </c>
      <c r="Q13" s="822">
        <f>'[3]Staff Details 2022-2024'!AF190</f>
        <v>2434475.1915977066</v>
      </c>
      <c r="R13" s="822">
        <f>'[3]Staff Details 2022-2024'!AH190</f>
        <v>1701091.5468637703</v>
      </c>
      <c r="S13" s="822">
        <f>'[3]Staff Details 2022-2024'!AK190</f>
        <v>440480.7846400002</v>
      </c>
      <c r="T13" s="822">
        <f t="shared" si="0"/>
        <v>370702.97637748462</v>
      </c>
      <c r="U13" s="822">
        <f>'[3]Staff Details 2022-2024'!AR190</f>
        <v>2512275.3078812552</v>
      </c>
      <c r="V13" s="823">
        <f t="shared" si="1"/>
        <v>4946750.4994789623</v>
      </c>
      <c r="W13" s="821">
        <f t="shared" si="2"/>
        <v>7308690.433972517</v>
      </c>
      <c r="X13" s="823"/>
      <c r="Y13" s="823">
        <v>6462317.83154401</v>
      </c>
      <c r="AB13" s="816">
        <f t="shared" si="5"/>
        <v>0.13097043885665505</v>
      </c>
      <c r="AD13" s="823"/>
    </row>
    <row r="14" spans="1:41">
      <c r="A14" s="818" t="s">
        <v>1142</v>
      </c>
      <c r="B14" s="819">
        <v>7</v>
      </c>
      <c r="C14" s="820">
        <v>6</v>
      </c>
      <c r="D14" s="820">
        <v>6</v>
      </c>
      <c r="E14" s="820">
        <v>6</v>
      </c>
      <c r="F14" s="820">
        <v>647317.54672800004</v>
      </c>
      <c r="G14" s="820">
        <v>243262.24000000005</v>
      </c>
      <c r="H14" s="820">
        <v>135773.00311442002</v>
      </c>
      <c r="I14" s="820">
        <v>1030788.0710999926</v>
      </c>
      <c r="J14" s="821">
        <f>'[3]Staff Details 2022-2024'!J191</f>
        <v>666737.07312984008</v>
      </c>
      <c r="K14" s="821">
        <f>'[3]Staff Details 2022-2024'!M191</f>
        <v>249873.97760000001</v>
      </c>
      <c r="L14" s="821">
        <f t="shared" si="3"/>
        <v>148971.72626807095</v>
      </c>
      <c r="M14" s="821">
        <f>'[3]Staff Details 2022-2024'!T191</f>
        <v>1065582.776997911</v>
      </c>
      <c r="N14" s="822">
        <f>'[3]Staff Details 2022-2024'!V191</f>
        <v>686739.18532373523</v>
      </c>
      <c r="O14" s="822">
        <f>'[3]Staff Details 2022-2024'!Y191</f>
        <v>258967.40000000002</v>
      </c>
      <c r="P14" s="822">
        <f t="shared" si="4"/>
        <v>152755.09507526655</v>
      </c>
      <c r="Q14" s="822">
        <f>'[3]Staff Details 2022-2024'!AF191</f>
        <v>1098461.6803990018</v>
      </c>
      <c r="R14" s="822">
        <f>'[3]Staff Details 2022-2024'!AH191</f>
        <v>707341.36088344723</v>
      </c>
      <c r="S14" s="822">
        <f>'[3]Staff Details 2022-2024'!AK191</f>
        <v>269326.09600000008</v>
      </c>
      <c r="T14" s="822">
        <f t="shared" si="0"/>
        <v>157711.46616179653</v>
      </c>
      <c r="U14" s="822">
        <f>'[3]Staff Details 2022-2024'!AR191</f>
        <v>1134378.9230452438</v>
      </c>
      <c r="V14" s="823">
        <f t="shared" si="1"/>
        <v>2232840.6034442456</v>
      </c>
      <c r="W14" s="821">
        <f t="shared" si="2"/>
        <v>3298423.3804421565</v>
      </c>
      <c r="X14" s="823"/>
      <c r="Y14" s="823">
        <v>2962110.5115835015</v>
      </c>
      <c r="AB14" s="816">
        <f t="shared" si="5"/>
        <v>0.11353825846249976</v>
      </c>
      <c r="AD14" s="823"/>
    </row>
    <row r="15" spans="1:41">
      <c r="A15" s="818" t="s">
        <v>121</v>
      </c>
      <c r="B15" s="819">
        <v>0</v>
      </c>
      <c r="C15" s="820">
        <v>1</v>
      </c>
      <c r="D15" s="820">
        <v>1</v>
      </c>
      <c r="E15" s="820">
        <v>1</v>
      </c>
      <c r="F15" s="820">
        <v>61532.200000000004</v>
      </c>
      <c r="G15" s="820">
        <v>7098</v>
      </c>
      <c r="H15" s="820">
        <v>12726.57</v>
      </c>
      <c r="I15" s="820">
        <v>81771.83157200001</v>
      </c>
      <c r="J15" s="821">
        <f>'[3]Staff Details 2022-2024'!J192</f>
        <v>69558.990000000005</v>
      </c>
      <c r="K15" s="821">
        <f>'[3]Staff Details 2022-2024'!M192</f>
        <v>7280</v>
      </c>
      <c r="L15" s="821">
        <f t="shared" si="3"/>
        <v>15033.737843400013</v>
      </c>
      <c r="M15" s="821">
        <f>'[3]Staff Details 2022-2024'!T192</f>
        <v>91872.727843400018</v>
      </c>
      <c r="N15" s="822">
        <f>'[3]Staff Details 2022-2024'!V192</f>
        <v>71645.75970000001</v>
      </c>
      <c r="O15" s="822">
        <f>'[3]Staff Details 2022-2024'!Y192</f>
        <v>6825</v>
      </c>
      <c r="P15" s="822">
        <f t="shared" si="4"/>
        <v>15173.203618350017</v>
      </c>
      <c r="Q15" s="822">
        <f>'[3]Staff Details 2022-2024'!AF192</f>
        <v>93643.963318350026</v>
      </c>
      <c r="R15" s="822">
        <f>'[3]Staff Details 2022-2024'!AH192</f>
        <v>73795.132491000011</v>
      </c>
      <c r="S15" s="822">
        <f>'[3]Staff Details 2022-2024'!AK192</f>
        <v>7098</v>
      </c>
      <c r="T15" s="822">
        <f t="shared" si="0"/>
        <v>15670.984027593644</v>
      </c>
      <c r="U15" s="822">
        <f>'[3]Staff Details 2022-2024'!AR192</f>
        <v>96564.116518593655</v>
      </c>
      <c r="V15" s="823">
        <f t="shared" si="1"/>
        <v>190208.07983694368</v>
      </c>
      <c r="W15" s="821">
        <f t="shared" si="2"/>
        <v>282080.80768034374</v>
      </c>
      <c r="X15" s="823"/>
      <c r="Y15" s="823">
        <v>275374.21883553336</v>
      </c>
      <c r="AB15" s="816">
        <f t="shared" si="5"/>
        <v>2.4354454360943079E-2</v>
      </c>
      <c r="AD15" s="823"/>
    </row>
    <row r="16" spans="1:41">
      <c r="A16" s="810" t="s">
        <v>942</v>
      </c>
      <c r="B16" s="819">
        <v>7</v>
      </c>
      <c r="C16" s="825">
        <v>6.5</v>
      </c>
      <c r="D16" s="826">
        <v>6</v>
      </c>
      <c r="E16" s="826">
        <v>6</v>
      </c>
      <c r="F16" s="825">
        <v>636545.76799999992</v>
      </c>
      <c r="G16" s="825">
        <v>83699.615999999995</v>
      </c>
      <c r="H16" s="825">
        <v>131357.28032399999</v>
      </c>
      <c r="I16" s="825">
        <v>855916.64951740007</v>
      </c>
      <c r="J16" s="821">
        <f>'[3]Staff Details 2022-2024'!J193</f>
        <v>655642.14104000002</v>
      </c>
      <c r="K16" s="821">
        <f>'[3]Staff Details 2022-2024'!M193</f>
        <v>112577.92</v>
      </c>
      <c r="L16" s="821">
        <f t="shared" si="3"/>
        <v>145943.90377252159</v>
      </c>
      <c r="M16" s="821">
        <f>'[3]Staff Details 2022-2024'!T193</f>
        <v>914163.96481252159</v>
      </c>
      <c r="N16" s="822">
        <f>'[3]Staff Details 2022-2024'!V193</f>
        <v>675311.40527120011</v>
      </c>
      <c r="O16" s="822">
        <f>'[3]Staff Details 2022-2024'!Y193</f>
        <v>118206.81600000002</v>
      </c>
      <c r="P16" s="822">
        <f t="shared" si="4"/>
        <v>147031.63602172278</v>
      </c>
      <c r="Q16" s="822">
        <f>'[3]Staff Details 2022-2024'!AF193</f>
        <v>940549.85729292291</v>
      </c>
      <c r="R16" s="822">
        <f>'[3]Staff Details 2022-2024'!AH193</f>
        <v>695570.74742933607</v>
      </c>
      <c r="S16" s="822">
        <f>'[3]Staff Details 2022-2024'!AK193</f>
        <v>122935.08864</v>
      </c>
      <c r="T16" s="822">
        <f t="shared" si="0"/>
        <v>151832.41787042082</v>
      </c>
      <c r="U16" s="822">
        <f>'[3]Staff Details 2022-2024'!AR193</f>
        <v>970338.25393975689</v>
      </c>
      <c r="V16" s="823">
        <f t="shared" si="1"/>
        <v>1910888.1112326798</v>
      </c>
      <c r="W16" s="821">
        <f t="shared" si="2"/>
        <v>2825052.0760452012</v>
      </c>
      <c r="X16" s="823"/>
      <c r="Y16" s="823">
        <v>2885250.0729665654</v>
      </c>
      <c r="AB16" s="816">
        <f t="shared" si="5"/>
        <v>-2.0864048314352734E-2</v>
      </c>
      <c r="AD16" s="823"/>
    </row>
    <row r="17" spans="1:30" ht="15.5" hidden="1" customHeight="1">
      <c r="A17" s="818" t="s">
        <v>1143</v>
      </c>
      <c r="B17" s="819">
        <v>0</v>
      </c>
      <c r="C17" s="820">
        <v>0</v>
      </c>
      <c r="D17" s="820">
        <v>0</v>
      </c>
      <c r="E17" s="820">
        <v>0</v>
      </c>
      <c r="F17" s="820">
        <v>0</v>
      </c>
      <c r="G17" s="820">
        <v>0</v>
      </c>
      <c r="H17" s="820">
        <v>0</v>
      </c>
      <c r="I17" s="820">
        <v>0</v>
      </c>
      <c r="J17" s="821">
        <f>'[3]Staff Details 2022-2024'!J194</f>
        <v>0</v>
      </c>
      <c r="K17" s="821">
        <f>'[3]Staff Details 2022-2024'!M194</f>
        <v>0</v>
      </c>
      <c r="L17" s="821">
        <f t="shared" si="3"/>
        <v>0</v>
      </c>
      <c r="M17" s="821">
        <f>'[3]Staff Details 2022-2024'!T194</f>
        <v>0</v>
      </c>
      <c r="N17" s="822">
        <f>'[3]Staff Details 2022-2024'!V194</f>
        <v>0</v>
      </c>
      <c r="O17" s="822">
        <f>'[3]Staff Details 2022-2024'!Y194</f>
        <v>0</v>
      </c>
      <c r="P17" s="822">
        <f t="shared" si="4"/>
        <v>0</v>
      </c>
      <c r="Q17" s="822">
        <f>'[3]Staff Details 2022-2024'!AF194</f>
        <v>0</v>
      </c>
      <c r="R17" s="822">
        <f>'[3]Staff Details 2022-2024'!AH194</f>
        <v>0</v>
      </c>
      <c r="S17" s="822">
        <f>'[3]Staff Details 2022-2024'!AK194</f>
        <v>0</v>
      </c>
      <c r="T17" s="822">
        <f t="shared" si="0"/>
        <v>0</v>
      </c>
      <c r="U17" s="822">
        <f>'[3]Staff Details 2022-2024'!AR194</f>
        <v>0</v>
      </c>
      <c r="V17" s="823">
        <f t="shared" si="1"/>
        <v>0</v>
      </c>
      <c r="W17" s="821">
        <f t="shared" si="2"/>
        <v>0</v>
      </c>
      <c r="X17" s="823"/>
      <c r="Y17" s="823">
        <v>0</v>
      </c>
      <c r="AB17" s="816" t="e">
        <f t="shared" si="5"/>
        <v>#DIV/0!</v>
      </c>
      <c r="AD17" s="823"/>
    </row>
    <row r="18" spans="1:30">
      <c r="A18" s="818" t="s">
        <v>1144</v>
      </c>
      <c r="B18" s="819">
        <v>3</v>
      </c>
      <c r="C18" s="820">
        <v>3</v>
      </c>
      <c r="D18" s="820">
        <v>3</v>
      </c>
      <c r="E18" s="820">
        <v>3</v>
      </c>
      <c r="F18" s="820">
        <v>270365.48485999997</v>
      </c>
      <c r="G18" s="820">
        <v>66607.632000000012</v>
      </c>
      <c r="H18" s="820">
        <v>66180.831556128003</v>
      </c>
      <c r="I18" s="820">
        <v>405298.44953130541</v>
      </c>
      <c r="J18" s="821">
        <f>'[3]Staff Details 2022-2024'!J195</f>
        <v>278476.44940580003</v>
      </c>
      <c r="K18" s="821">
        <f>'[3]Staff Details 2022-2024'!M195</f>
        <v>68315.520000000004</v>
      </c>
      <c r="L18" s="821">
        <f t="shared" si="3"/>
        <v>71196.587415761154</v>
      </c>
      <c r="M18" s="821">
        <f>'[3]Staff Details 2022-2024'!T195</f>
        <v>417988.55682156119</v>
      </c>
      <c r="N18" s="822">
        <f>'[3]Staff Details 2022-2024'!V195</f>
        <v>286830.74288797402</v>
      </c>
      <c r="O18" s="822">
        <f>'[3]Staff Details 2022-2024'!Y195</f>
        <v>71731.296000000002</v>
      </c>
      <c r="P18" s="822">
        <f t="shared" si="4"/>
        <v>73645.42758842677</v>
      </c>
      <c r="Q18" s="822">
        <f>'[3]Staff Details 2022-2024'!AF195</f>
        <v>432207.46647640079</v>
      </c>
      <c r="R18" s="822">
        <f>'[3]Staff Details 2022-2024'!AH195</f>
        <v>295435.66517461324</v>
      </c>
      <c r="S18" s="822">
        <f>'[3]Staff Details 2022-2024'!AK195</f>
        <v>74600.547840000014</v>
      </c>
      <c r="T18" s="822">
        <f t="shared" si="0"/>
        <v>76027.261321612343</v>
      </c>
      <c r="U18" s="822">
        <f>'[3]Staff Details 2022-2024'!AR195</f>
        <v>446063.4743362256</v>
      </c>
      <c r="V18" s="823">
        <f t="shared" si="1"/>
        <v>878270.94081262639</v>
      </c>
      <c r="W18" s="821">
        <f t="shared" si="2"/>
        <v>1296259.4976341876</v>
      </c>
      <c r="X18" s="823"/>
      <c r="Y18" s="823">
        <v>1176841.0884099174</v>
      </c>
      <c r="AB18" s="816">
        <f t="shared" si="5"/>
        <v>0.10147369122335936</v>
      </c>
      <c r="AD18" s="823"/>
    </row>
    <row r="19" spans="1:30">
      <c r="A19" s="818" t="s">
        <v>1145</v>
      </c>
      <c r="B19" s="819">
        <v>21</v>
      </c>
      <c r="C19" s="820">
        <v>11</v>
      </c>
      <c r="D19" s="820">
        <v>11</v>
      </c>
      <c r="E19" s="820">
        <v>11</v>
      </c>
      <c r="F19" s="820">
        <v>851486.10620000015</v>
      </c>
      <c r="G19" s="820">
        <v>233517.43999999997</v>
      </c>
      <c r="H19" s="820">
        <v>179570.30880600004</v>
      </c>
      <c r="I19" s="820">
        <v>1270435.9873108924</v>
      </c>
      <c r="J19" s="821">
        <f>'[3]Staff Details 2022-2024'!J196</f>
        <v>876966.15988599998</v>
      </c>
      <c r="K19" s="821">
        <f>'[3]Staff Details 2022-2024'!M196</f>
        <v>230404.42879999999</v>
      </c>
      <c r="L19" s="821">
        <f t="shared" si="3"/>
        <v>197123.63283318619</v>
      </c>
      <c r="M19" s="821">
        <f>'[3]Staff Details 2022-2024'!T196</f>
        <v>1304494.2215191862</v>
      </c>
      <c r="N19" s="822">
        <f>'[3]Staff Details 2022-2024'!V196</f>
        <v>903275.14468258014</v>
      </c>
      <c r="O19" s="822">
        <f>'[3]Staff Details 2022-2024'!Y196</f>
        <v>224536</v>
      </c>
      <c r="P19" s="822">
        <f t="shared" si="4"/>
        <v>202156.11190822301</v>
      </c>
      <c r="Q19" s="822">
        <f>'[3]Staff Details 2022-2024'!AF196</f>
        <v>1329967.2565908032</v>
      </c>
      <c r="R19" s="822">
        <f>'[3]Staff Details 2022-2024'!AH196</f>
        <v>930373.39902305766</v>
      </c>
      <c r="S19" s="822">
        <f>'[3]Staff Details 2022-2024'!AK196</f>
        <v>233517.43999999994</v>
      </c>
      <c r="T19" s="822">
        <f t="shared" si="0"/>
        <v>208733.13824872742</v>
      </c>
      <c r="U19" s="822">
        <f>'[3]Staff Details 2022-2024'!AR196</f>
        <v>1372623.977271785</v>
      </c>
      <c r="V19" s="823">
        <f t="shared" si="1"/>
        <v>2702591.2338625882</v>
      </c>
      <c r="W19" s="821">
        <f t="shared" si="2"/>
        <v>4007085.4553817743</v>
      </c>
      <c r="X19" s="823"/>
      <c r="Y19" s="823">
        <v>6278426.3969231369</v>
      </c>
      <c r="AB19" s="816">
        <f t="shared" si="5"/>
        <v>-0.36176914372277691</v>
      </c>
      <c r="AD19" s="823"/>
    </row>
    <row r="20" spans="1:30" ht="15.5" hidden="1" customHeight="1">
      <c r="A20" s="818" t="s">
        <v>1146</v>
      </c>
      <c r="B20" s="819">
        <v>0</v>
      </c>
      <c r="C20" s="820">
        <v>0</v>
      </c>
      <c r="D20" s="820">
        <v>0</v>
      </c>
      <c r="E20" s="820">
        <v>0</v>
      </c>
      <c r="F20" s="820">
        <v>0</v>
      </c>
      <c r="G20" s="820">
        <v>0</v>
      </c>
      <c r="H20" s="820">
        <v>0</v>
      </c>
      <c r="I20" s="820">
        <v>0</v>
      </c>
      <c r="J20" s="821">
        <f>'[3]Staff Details 2022-2024'!J197</f>
        <v>0</v>
      </c>
      <c r="K20" s="821">
        <f>'[3]Staff Details 2022-2024'!M197</f>
        <v>0</v>
      </c>
      <c r="L20" s="821">
        <f t="shared" si="3"/>
        <v>0</v>
      </c>
      <c r="M20" s="821">
        <f>'[3]Staff Details 2022-2024'!T197</f>
        <v>0</v>
      </c>
      <c r="N20" s="822">
        <f>'[3]Staff Details 2022-2024'!V197</f>
        <v>0</v>
      </c>
      <c r="O20" s="822">
        <f>'[3]Staff Details 2022-2024'!Y197</f>
        <v>0</v>
      </c>
      <c r="P20" s="822">
        <f t="shared" si="4"/>
        <v>0</v>
      </c>
      <c r="Q20" s="822">
        <f>'[3]Staff Details 2022-2024'!AF197</f>
        <v>0</v>
      </c>
      <c r="R20" s="822">
        <f>'[3]Staff Details 2022-2024'!AH197</f>
        <v>0</v>
      </c>
      <c r="S20" s="822">
        <f>'[3]Staff Details 2022-2024'!AK197</f>
        <v>0</v>
      </c>
      <c r="T20" s="822">
        <f t="shared" si="0"/>
        <v>0</v>
      </c>
      <c r="U20" s="822">
        <f>'[3]Staff Details 2022-2024'!AR197</f>
        <v>0</v>
      </c>
      <c r="V20" s="823">
        <f t="shared" si="1"/>
        <v>0</v>
      </c>
      <c r="W20" s="821">
        <f t="shared" si="2"/>
        <v>0</v>
      </c>
      <c r="X20" s="823"/>
      <c r="Y20" s="823">
        <v>0</v>
      </c>
      <c r="AB20" s="816" t="e">
        <f t="shared" si="5"/>
        <v>#DIV/0!</v>
      </c>
      <c r="AD20" s="823"/>
    </row>
    <row r="21" spans="1:30">
      <c r="A21" s="818" t="s">
        <v>1147</v>
      </c>
      <c r="B21" s="819">
        <v>6</v>
      </c>
      <c r="C21" s="820">
        <v>7</v>
      </c>
      <c r="D21" s="820">
        <v>7</v>
      </c>
      <c r="E21" s="820">
        <v>7</v>
      </c>
      <c r="F21" s="820">
        <v>681754.3014</v>
      </c>
      <c r="G21" s="820">
        <v>173475.12000000002</v>
      </c>
      <c r="H21" s="820">
        <v>183859.13604880005</v>
      </c>
      <c r="I21" s="820">
        <v>1045016.161599328</v>
      </c>
      <c r="J21" s="821">
        <f>'[3]Staff Details 2022-2024'!J198</f>
        <v>702206.93044200004</v>
      </c>
      <c r="K21" s="821">
        <f>'[3]Staff Details 2022-2024'!M198</f>
        <v>177923.20000000001</v>
      </c>
      <c r="L21" s="821">
        <f t="shared" si="3"/>
        <v>196028.88078872667</v>
      </c>
      <c r="M21" s="821">
        <f>'[3]Staff Details 2022-2024'!T198</f>
        <v>1076159.0112307267</v>
      </c>
      <c r="N21" s="822">
        <f>'[3]Staff Details 2022-2024'!V198</f>
        <v>723273.13835526002</v>
      </c>
      <c r="O21" s="822">
        <f>'[3]Staff Details 2022-2024'!Y198</f>
        <v>186819.36000000002</v>
      </c>
      <c r="P21" s="822">
        <f t="shared" si="4"/>
        <v>202514.23034296939</v>
      </c>
      <c r="Q21" s="822">
        <f>'[3]Staff Details 2022-2024'!AF198</f>
        <v>1112606.7286982294</v>
      </c>
      <c r="R21" s="822">
        <f>'[3]Staff Details 2022-2024'!AH198</f>
        <v>744971.33250591788</v>
      </c>
      <c r="S21" s="822">
        <f>'[3]Staff Details 2022-2024'!AK198</f>
        <v>194292.13439999998</v>
      </c>
      <c r="T21" s="822">
        <f t="shared" si="0"/>
        <v>209038.21506596252</v>
      </c>
      <c r="U21" s="822">
        <f>'[3]Staff Details 2022-2024'!AR198</f>
        <v>1148301.6819718804</v>
      </c>
      <c r="V21" s="823">
        <f t="shared" si="1"/>
        <v>2260908.41067011</v>
      </c>
      <c r="W21" s="821">
        <f t="shared" si="2"/>
        <v>3337067.4219008368</v>
      </c>
      <c r="X21" s="823"/>
      <c r="Y21" s="823">
        <v>3106097.4114529826</v>
      </c>
      <c r="AB21" s="816">
        <f t="shared" si="5"/>
        <v>7.4360195400249962E-2</v>
      </c>
      <c r="AD21" s="823"/>
    </row>
    <row r="22" spans="1:30">
      <c r="A22" s="818" t="s">
        <v>1148</v>
      </c>
      <c r="B22" s="819">
        <v>4</v>
      </c>
      <c r="C22" s="820">
        <v>4</v>
      </c>
      <c r="D22" s="820">
        <v>4</v>
      </c>
      <c r="E22" s="820">
        <v>4</v>
      </c>
      <c r="F22" s="820">
        <v>262267.67759600002</v>
      </c>
      <c r="G22" s="820">
        <v>88185.551999999996</v>
      </c>
      <c r="H22" s="820">
        <v>55659.282011039999</v>
      </c>
      <c r="I22" s="820">
        <v>407921.71190234425</v>
      </c>
      <c r="J22" s="821">
        <f>'[3]Staff Details 2022-2024'!J199</f>
        <v>114336.28764530001</v>
      </c>
      <c r="K22" s="821">
        <f>'[3]Staff Details 2022-2024'!M199</f>
        <v>22131.200000000001</v>
      </c>
      <c r="L22" s="821">
        <f t="shared" si="3"/>
        <v>26040.262927448592</v>
      </c>
      <c r="M22" s="821">
        <f>'[3]Staff Details 2022-2024'!T199</f>
        <v>162507.7505727486</v>
      </c>
      <c r="N22" s="822">
        <f>'[3]Staff Details 2022-2024'!V199</f>
        <v>117766.37627465901</v>
      </c>
      <c r="O22" s="822">
        <f>'[3]Staff Details 2022-2024'!Y199</f>
        <v>23237.760000000002</v>
      </c>
      <c r="P22" s="822">
        <f t="shared" si="4"/>
        <v>26704.968369303337</v>
      </c>
      <c r="Q22" s="822">
        <f>'[3]Staff Details 2022-2024'!AF199</f>
        <v>167709.10464396235</v>
      </c>
      <c r="R22" s="822">
        <f>'[3]Staff Details 2022-2024'!AH199</f>
        <v>121299.36756289878</v>
      </c>
      <c r="S22" s="822">
        <f>'[3]Staff Details 2022-2024'!AK199</f>
        <v>24167.270400000001</v>
      </c>
      <c r="T22" s="822">
        <f t="shared" si="0"/>
        <v>28471.304939730158</v>
      </c>
      <c r="U22" s="822">
        <f>'[3]Staff Details 2022-2024'!AR199</f>
        <v>173937.94290262894</v>
      </c>
      <c r="V22" s="823">
        <f t="shared" si="1"/>
        <v>341647.04754659126</v>
      </c>
      <c r="W22" s="821">
        <f t="shared" si="2"/>
        <v>504154.79811933986</v>
      </c>
      <c r="X22" s="823"/>
      <c r="Y22" s="823">
        <v>1162399.5077101379</v>
      </c>
      <c r="AB22" s="816">
        <f t="shared" si="5"/>
        <v>-0.56628096039674292</v>
      </c>
      <c r="AD22" s="823"/>
    </row>
    <row r="23" spans="1:30">
      <c r="A23" s="818" t="s">
        <v>1149</v>
      </c>
      <c r="B23" s="819">
        <v>3</v>
      </c>
      <c r="C23" s="820">
        <v>3</v>
      </c>
      <c r="D23" s="820">
        <v>3</v>
      </c>
      <c r="E23" s="820">
        <v>3</v>
      </c>
      <c r="F23" s="820">
        <v>331190.47450000001</v>
      </c>
      <c r="G23" s="820">
        <v>81087.136000000013</v>
      </c>
      <c r="H23" s="820">
        <v>79002.362542800009</v>
      </c>
      <c r="I23" s="820">
        <v>493861.24867970403</v>
      </c>
      <c r="J23" s="821">
        <f>'[3]Staff Details 2022-2024'!J200</f>
        <v>341126.18873500009</v>
      </c>
      <c r="K23" s="821">
        <f>'[3]Staff Details 2022-2024'!M200</f>
        <v>83166.720000000001</v>
      </c>
      <c r="L23" s="821">
        <f t="shared" si="3"/>
        <v>83260.736728907243</v>
      </c>
      <c r="M23" s="821">
        <f>'[3]Staff Details 2022-2024'!T200</f>
        <v>507553.64546390733</v>
      </c>
      <c r="N23" s="822">
        <f>'[3]Staff Details 2022-2024'!V200</f>
        <v>351359.9743970501</v>
      </c>
      <c r="O23" s="822">
        <f>'[3]Staff Details 2022-2024'!Y200</f>
        <v>84317.288</v>
      </c>
      <c r="P23" s="822">
        <f t="shared" si="4"/>
        <v>86202.833164306241</v>
      </c>
      <c r="Q23" s="822">
        <f>'[3]Staff Details 2022-2024'!AF200</f>
        <v>521880.09556135634</v>
      </c>
      <c r="R23" s="822">
        <f>'[3]Staff Details 2022-2024'!AH200</f>
        <v>361900.77362896153</v>
      </c>
      <c r="S23" s="822">
        <f>'[3]Staff Details 2022-2024'!AK200</f>
        <v>87689.979520000008</v>
      </c>
      <c r="T23" s="822">
        <f t="shared" si="0"/>
        <v>89023.462747193451</v>
      </c>
      <c r="U23" s="822">
        <f>'[3]Staff Details 2022-2024'!AR200</f>
        <v>538614.21589615499</v>
      </c>
      <c r="V23" s="823">
        <f t="shared" si="1"/>
        <v>1060494.3114575113</v>
      </c>
      <c r="W23" s="821">
        <f t="shared" si="2"/>
        <v>1568047.9569214187</v>
      </c>
      <c r="X23" s="823"/>
      <c r="Y23" s="823">
        <v>1357429.692935928</v>
      </c>
      <c r="AB23" s="816">
        <f t="shared" si="5"/>
        <v>0.15515961164069814</v>
      </c>
      <c r="AD23" s="823"/>
    </row>
    <row r="24" spans="1:30">
      <c r="A24" s="818" t="s">
        <v>1150</v>
      </c>
      <c r="B24" s="819">
        <v>4</v>
      </c>
      <c r="C24" s="820">
        <v>4</v>
      </c>
      <c r="D24" s="813">
        <v>4.5</v>
      </c>
      <c r="E24" s="813">
        <v>4.5</v>
      </c>
      <c r="F24" s="820">
        <v>386698.45169999998</v>
      </c>
      <c r="G24" s="820">
        <v>121631.32800000001</v>
      </c>
      <c r="H24" s="820">
        <v>87459.728169399998</v>
      </c>
      <c r="I24" s="820">
        <v>598653.19053777412</v>
      </c>
      <c r="J24" s="821">
        <f>'[3]Staff Details 2022-2024'!J201</f>
        <v>431802.01827</v>
      </c>
      <c r="K24" s="821">
        <f>'[3]Staff Details 2022-2024'!M201</f>
        <v>140533.08000000002</v>
      </c>
      <c r="L24" s="821">
        <f t="shared" si="3"/>
        <v>101507.98344818706</v>
      </c>
      <c r="M24" s="821">
        <f>'[3]Staff Details 2022-2024'!T201</f>
        <v>673843.08171818708</v>
      </c>
      <c r="N24" s="822">
        <f>'[3]Staff Details 2022-2024'!V201</f>
        <v>444756.07881810004</v>
      </c>
      <c r="O24" s="822">
        <f>'[3]Staff Details 2022-2024'!Y201</f>
        <v>147559.73400000003</v>
      </c>
      <c r="P24" s="822">
        <f t="shared" si="4"/>
        <v>103943.50604370903</v>
      </c>
      <c r="Q24" s="822">
        <f>'[3]Staff Details 2022-2024'!AF201</f>
        <v>696259.31886180909</v>
      </c>
      <c r="R24" s="822">
        <f>'[3]Staff Details 2022-2024'!AH201</f>
        <v>458098.76118264307</v>
      </c>
      <c r="S24" s="822">
        <f>'[3]Staff Details 2022-2024'!AK201</f>
        <v>153462.12336000003</v>
      </c>
      <c r="T24" s="822">
        <f t="shared" si="0"/>
        <v>107342.46628351917</v>
      </c>
      <c r="U24" s="822">
        <f>'[3]Staff Details 2022-2024'!AR201</f>
        <v>718903.35082616226</v>
      </c>
      <c r="V24" s="823">
        <f t="shared" si="1"/>
        <v>1415162.6696879715</v>
      </c>
      <c r="W24" s="821">
        <f t="shared" si="2"/>
        <v>2089005.7514061583</v>
      </c>
      <c r="X24" s="823"/>
      <c r="Y24" s="823">
        <v>1674560.6328222533</v>
      </c>
      <c r="AB24" s="816">
        <f t="shared" si="5"/>
        <v>0.24749484160834001</v>
      </c>
      <c r="AD24" s="823"/>
    </row>
    <row r="25" spans="1:30">
      <c r="A25" s="810" t="s">
        <v>1151</v>
      </c>
      <c r="B25" s="819">
        <v>1</v>
      </c>
      <c r="C25" s="820">
        <v>1</v>
      </c>
      <c r="D25" s="820">
        <v>1</v>
      </c>
      <c r="E25" s="820">
        <v>1</v>
      </c>
      <c r="F25" s="820">
        <v>63026.413996000003</v>
      </c>
      <c r="G25" s="820">
        <v>26063.856000000003</v>
      </c>
      <c r="H25" s="820">
        <v>13024.687452600001</v>
      </c>
      <c r="I25" s="820">
        <v>102540.09814681495</v>
      </c>
      <c r="J25" s="821">
        <f>'[3]Staff Details 2022-2024'!J202</f>
        <v>64917.206415880006</v>
      </c>
      <c r="K25" s="821">
        <f>'[3]Staff Details 2022-2024'!M202</f>
        <v>26732.16</v>
      </c>
      <c r="L25" s="821">
        <f t="shared" si="3"/>
        <v>13839.822995339407</v>
      </c>
      <c r="M25" s="821">
        <f>'[3]Staff Details 2022-2024'!T202</f>
        <v>105489.18941121941</v>
      </c>
      <c r="N25" s="822">
        <f>'[3]Staff Details 2022-2024'!V202</f>
        <v>66864.722608356402</v>
      </c>
      <c r="O25" s="822">
        <f>'[3]Staff Details 2022-2024'!Y202</f>
        <v>28068.768</v>
      </c>
      <c r="P25" s="822">
        <f t="shared" si="4"/>
        <v>14190.700496017245</v>
      </c>
      <c r="Q25" s="822">
        <f>'[3]Staff Details 2022-2024'!AF202</f>
        <v>109124.19110437365</v>
      </c>
      <c r="R25" s="822">
        <f>'[3]Staff Details 2022-2024'!AH202</f>
        <v>68870.664286607091</v>
      </c>
      <c r="S25" s="822">
        <f>'[3]Staff Details 2022-2024'!AK202</f>
        <v>29191.51872</v>
      </c>
      <c r="T25" s="822">
        <f t="shared" si="0"/>
        <v>14655.263215755571</v>
      </c>
      <c r="U25" s="822">
        <f>'[3]Staff Details 2022-2024'!AR202</f>
        <v>112717.44622236266</v>
      </c>
      <c r="V25" s="823">
        <f t="shared" si="1"/>
        <v>221841.63732673629</v>
      </c>
      <c r="W25" s="821">
        <f t="shared" si="2"/>
        <v>327330.82673795568</v>
      </c>
      <c r="X25" s="823"/>
      <c r="Y25" s="823">
        <v>303737.03576221038</v>
      </c>
      <c r="AB25" s="816">
        <f t="shared" si="5"/>
        <v>7.7678347378804302E-2</v>
      </c>
      <c r="AD25" s="823"/>
    </row>
    <row r="26" spans="1:30">
      <c r="A26" s="818" t="s">
        <v>1152</v>
      </c>
      <c r="B26" s="819">
        <v>11</v>
      </c>
      <c r="C26" s="820">
        <v>12</v>
      </c>
      <c r="D26" s="820">
        <v>12</v>
      </c>
      <c r="E26" s="820">
        <v>12</v>
      </c>
      <c r="F26" s="820">
        <v>1218011.3899000001</v>
      </c>
      <c r="G26" s="820">
        <v>277111.46736000001</v>
      </c>
      <c r="H26" s="820">
        <v>282322.95523890009</v>
      </c>
      <c r="I26" s="820">
        <v>1785691.975278591</v>
      </c>
      <c r="J26" s="821">
        <f>'[3]Staff Details 2022-2024'!J203</f>
        <v>1253806.1349910002</v>
      </c>
      <c r="K26" s="821">
        <f>'[3]Staff Details 2022-2024'!M203</f>
        <v>256447.98017279999</v>
      </c>
      <c r="L26" s="821">
        <f t="shared" si="3"/>
        <v>304253.63185262808</v>
      </c>
      <c r="M26" s="821">
        <f>'[3]Staff Details 2022-2024'!T203</f>
        <v>1814507.7470164283</v>
      </c>
      <c r="N26" s="822">
        <f>'[3]Staff Details 2022-2024'!V203</f>
        <v>1291420.3190407301</v>
      </c>
      <c r="O26" s="822">
        <f>'[3]Staff Details 2022-2024'!Y203</f>
        <v>269270.37918143999</v>
      </c>
      <c r="P26" s="822">
        <f t="shared" si="4"/>
        <v>313745.74362930609</v>
      </c>
      <c r="Q26" s="822">
        <f>'[3]Staff Details 2022-2024'!AF203</f>
        <v>1874436.4418514762</v>
      </c>
      <c r="R26" s="822">
        <f>'[3]Staff Details 2022-2024'!AH203</f>
        <v>1330162.9286119519</v>
      </c>
      <c r="S26" s="822">
        <f>'[3]Staff Details 2022-2024'!AK203</f>
        <v>280041.19434869767</v>
      </c>
      <c r="T26" s="822">
        <f t="shared" si="0"/>
        <v>323086.4427961969</v>
      </c>
      <c r="U26" s="822">
        <f>'[3]Staff Details 2022-2024'!AR203</f>
        <v>1933290.5657568465</v>
      </c>
      <c r="V26" s="823">
        <f t="shared" si="1"/>
        <v>3807727.0076083224</v>
      </c>
      <c r="W26" s="821">
        <f t="shared" si="2"/>
        <v>5622234.7546247505</v>
      </c>
      <c r="X26" s="823"/>
      <c r="Y26" s="823">
        <v>5063639.8652466591</v>
      </c>
      <c r="AB26" s="816">
        <f t="shared" si="5"/>
        <v>0.11031489289194951</v>
      </c>
      <c r="AD26" s="823"/>
    </row>
    <row r="27" spans="1:30">
      <c r="A27" s="818" t="s">
        <v>887</v>
      </c>
      <c r="B27" s="819">
        <v>1</v>
      </c>
      <c r="C27" s="820">
        <v>1</v>
      </c>
      <c r="D27" s="820">
        <v>3</v>
      </c>
      <c r="E27" s="820">
        <v>3</v>
      </c>
      <c r="F27" s="820">
        <v>95291.258035000006</v>
      </c>
      <c r="G27" s="820">
        <v>7098</v>
      </c>
      <c r="H27" s="820">
        <v>19461.993714750002</v>
      </c>
      <c r="I27" s="820">
        <v>122494.0329172991</v>
      </c>
      <c r="J27" s="821">
        <f>'[3]Staff Details 2022-2024'!J204</f>
        <v>331345.41666666669</v>
      </c>
      <c r="K27" s="821">
        <f>'[3]Staff Details 2022-2024'!M204</f>
        <v>84711.026836800011</v>
      </c>
      <c r="L27" s="821">
        <f t="shared" si="3"/>
        <v>50932.159141666576</v>
      </c>
      <c r="M27" s="821">
        <f>'[3]Staff Details 2022-2024'!T204</f>
        <v>466988.60264513327</v>
      </c>
      <c r="N27" s="822">
        <f>'[3]Staff Details 2022-2024'!V204</f>
        <v>451309.95</v>
      </c>
      <c r="O27" s="822">
        <f>'[3]Staff Details 2022-2024'!Y204</f>
        <v>88946.578178640004</v>
      </c>
      <c r="P27" s="822">
        <f t="shared" si="4"/>
        <v>110306.21699849998</v>
      </c>
      <c r="Q27" s="822">
        <f>'[3]Staff Details 2022-2024'!AF204</f>
        <v>650562.74517713999</v>
      </c>
      <c r="R27" s="822">
        <f>'[3]Staff Details 2022-2024'!AH204</f>
        <v>464849.24849999999</v>
      </c>
      <c r="S27" s="822">
        <f>'[3]Staff Details 2022-2024'!AK204</f>
        <v>92504.441305785615</v>
      </c>
      <c r="T27" s="822">
        <f t="shared" si="0"/>
        <v>117095.40898218978</v>
      </c>
      <c r="U27" s="822">
        <f>'[3]Staff Details 2022-2024'!AR204</f>
        <v>674449.09878797538</v>
      </c>
      <c r="V27" s="823">
        <f t="shared" si="1"/>
        <v>1325011.8439651155</v>
      </c>
      <c r="W27" s="821">
        <f t="shared" si="2"/>
        <v>1792000.4466102486</v>
      </c>
      <c r="X27" s="823"/>
      <c r="Y27" s="823">
        <v>351010.27340583818</v>
      </c>
      <c r="AB27" s="816">
        <f t="shared" si="5"/>
        <v>4.1052649519985334</v>
      </c>
      <c r="AD27" s="823"/>
    </row>
    <row r="28" spans="1:30">
      <c r="A28" s="818" t="s">
        <v>1031</v>
      </c>
      <c r="B28" s="819">
        <v>3</v>
      </c>
      <c r="C28" s="820">
        <v>3</v>
      </c>
      <c r="D28" s="820">
        <v>3</v>
      </c>
      <c r="E28" s="820">
        <v>3</v>
      </c>
      <c r="F28" s="820">
        <v>373749.82915400004</v>
      </c>
      <c r="G28" s="820">
        <v>92671.488000000012</v>
      </c>
      <c r="H28" s="820">
        <v>77742.431175020014</v>
      </c>
      <c r="I28" s="820">
        <v>546721.86633442761</v>
      </c>
      <c r="J28" s="821">
        <f>'[3]Staff Details 2022-2024'!J205</f>
        <v>384962.32402862003</v>
      </c>
      <c r="K28" s="821">
        <f>'[3]Staff Details 2022-2024'!M205</f>
        <v>95047.680000000008</v>
      </c>
      <c r="L28" s="821">
        <f t="shared" si="3"/>
        <v>85184.378331626809</v>
      </c>
      <c r="M28" s="821">
        <f>'[3]Staff Details 2022-2024'!T205</f>
        <v>565194.38236024685</v>
      </c>
      <c r="N28" s="822">
        <f>'[3]Staff Details 2022-2024'!V205</f>
        <v>396511.19374947867</v>
      </c>
      <c r="O28" s="822">
        <f>'[3]Staff Details 2022-2024'!Y205</f>
        <v>99800.063999999998</v>
      </c>
      <c r="P28" s="822">
        <f t="shared" si="4"/>
        <v>87363.380574326045</v>
      </c>
      <c r="Q28" s="822">
        <f>'[3]Staff Details 2022-2024'!AF205</f>
        <v>583674.63832380471</v>
      </c>
      <c r="R28" s="822">
        <f>'[3]Staff Details 2022-2024'!AH205</f>
        <v>408406.52956196299</v>
      </c>
      <c r="S28" s="822">
        <f>'[3]Staff Details 2022-2024'!AK205</f>
        <v>103792.06656000001</v>
      </c>
      <c r="T28" s="822">
        <f t="shared" si="0"/>
        <v>90219.490354022826</v>
      </c>
      <c r="U28" s="822">
        <f>'[3]Staff Details 2022-2024'!AR205</f>
        <v>602418.08647598582</v>
      </c>
      <c r="V28" s="823">
        <f t="shared" si="1"/>
        <v>1186092.7247997904</v>
      </c>
      <c r="W28" s="821">
        <f t="shared" si="2"/>
        <v>1751287.1071600374</v>
      </c>
      <c r="X28" s="823"/>
      <c r="Y28" s="823">
        <v>1508061.4029220724</v>
      </c>
      <c r="AB28" s="816">
        <f t="shared" si="5"/>
        <v>0.16128368763147338</v>
      </c>
      <c r="AD28" s="823"/>
    </row>
    <row r="29" spans="1:30">
      <c r="A29" s="818" t="s">
        <v>1041</v>
      </c>
      <c r="B29" s="819">
        <v>5</v>
      </c>
      <c r="C29" s="820">
        <v>6</v>
      </c>
      <c r="D29" s="820">
        <v>6</v>
      </c>
      <c r="E29" s="820">
        <v>6</v>
      </c>
      <c r="F29" s="820">
        <v>636230.14509999997</v>
      </c>
      <c r="G29" s="820">
        <v>146360.03200000001</v>
      </c>
      <c r="H29" s="820">
        <v>132917.67661299999</v>
      </c>
      <c r="I29" s="820">
        <v>919862.50932166597</v>
      </c>
      <c r="J29" s="821">
        <f>'[3]Staff Details 2022-2024'!J206</f>
        <v>665617.04945299996</v>
      </c>
      <c r="K29" s="821">
        <f>'[3]Staff Details 2022-2024'!M206</f>
        <v>151361.76640000002</v>
      </c>
      <c r="L29" s="821">
        <f t="shared" si="3"/>
        <v>147966.61371102085</v>
      </c>
      <c r="M29" s="821">
        <f>'[3]Staff Details 2022-2024'!T206</f>
        <v>964945.42956402083</v>
      </c>
      <c r="N29" s="822">
        <f>'[3]Staff Details 2022-2024'!V206</f>
        <v>685585.56093658996</v>
      </c>
      <c r="O29" s="822">
        <f>'[3]Staff Details 2022-2024'!Y206</f>
        <v>146745.53599999999</v>
      </c>
      <c r="P29" s="822">
        <f t="shared" si="4"/>
        <v>151734.2058960397</v>
      </c>
      <c r="Q29" s="822">
        <f>'[3]Staff Details 2022-2024'!AF206</f>
        <v>984065.30283262965</v>
      </c>
      <c r="R29" s="822">
        <f>'[3]Staff Details 2022-2024'!AH206</f>
        <v>706153.12776468787</v>
      </c>
      <c r="S29" s="822">
        <f>'[3]Staff Details 2022-2024'!AK206</f>
        <v>152615.35743999999</v>
      </c>
      <c r="T29" s="822">
        <f t="shared" si="0"/>
        <v>156672.54725002212</v>
      </c>
      <c r="U29" s="822">
        <f>'[3]Staff Details 2022-2024'!AR206</f>
        <v>1015441.03245471</v>
      </c>
      <c r="V29" s="823">
        <f t="shared" si="1"/>
        <v>1999506.3352873395</v>
      </c>
      <c r="W29" s="821">
        <f t="shared" si="2"/>
        <v>2964451.7648513606</v>
      </c>
      <c r="X29" s="823"/>
      <c r="Y29" s="823">
        <v>2653767.218750177</v>
      </c>
      <c r="AB29" s="816">
        <f t="shared" si="5"/>
        <v>0.11707302129065567</v>
      </c>
      <c r="AD29" s="823"/>
    </row>
    <row r="30" spans="1:30">
      <c r="A30" s="818" t="s">
        <v>133</v>
      </c>
      <c r="B30" s="819">
        <v>2</v>
      </c>
      <c r="C30" s="820">
        <v>3</v>
      </c>
      <c r="D30" s="813">
        <v>3.5</v>
      </c>
      <c r="E30" s="813">
        <v>3.5</v>
      </c>
      <c r="F30" s="820">
        <v>404320.281066</v>
      </c>
      <c r="G30" s="820">
        <v>55023.696000000004</v>
      </c>
      <c r="H30" s="820">
        <v>78876.200268355999</v>
      </c>
      <c r="I30" s="820">
        <v>543116.26675601676</v>
      </c>
      <c r="J30" s="821">
        <f>'[3]Staff Details 2022-2024'!J207</f>
        <v>891279.88949798001</v>
      </c>
      <c r="K30" s="821">
        <f>'[3]Staff Details 2022-2024'!M207</f>
        <v>98017.919999999998</v>
      </c>
      <c r="L30" s="821">
        <f t="shared" si="3"/>
        <v>190512.52179985348</v>
      </c>
      <c r="M30" s="821">
        <f>'[3]Staff Details 2022-2024'!T207</f>
        <v>1179810.3312978335</v>
      </c>
      <c r="N30" s="822">
        <f>'[3]Staff Details 2022-2024'!V207</f>
        <v>918018.2861829194</v>
      </c>
      <c r="O30" s="822">
        <f>'[3]Staff Details 2022-2024'!Y207</f>
        <v>102918.81600000002</v>
      </c>
      <c r="P30" s="822">
        <f t="shared" si="4"/>
        <v>193774.97970763964</v>
      </c>
      <c r="Q30" s="822">
        <f>'[3]Staff Details 2022-2024'!AF207</f>
        <v>1214712.0818905591</v>
      </c>
      <c r="R30" s="822">
        <f>'[3]Staff Details 2022-2024'!AH207</f>
        <v>945558.83476840716</v>
      </c>
      <c r="S30" s="822">
        <f>'[3]Staff Details 2022-2024'!AK207</f>
        <v>107035.56864000001</v>
      </c>
      <c r="T30" s="822">
        <f t="shared" si="0"/>
        <v>200243.20341329306</v>
      </c>
      <c r="U30" s="822">
        <f>'[3]Staff Details 2022-2024'!AR207</f>
        <v>1252837.6068217002</v>
      </c>
      <c r="V30" s="823">
        <f t="shared" si="1"/>
        <v>2467549.6887122593</v>
      </c>
      <c r="W30" s="821">
        <f t="shared" si="2"/>
        <v>3647360.0200100923</v>
      </c>
      <c r="X30" s="823"/>
      <c r="Y30" s="823">
        <v>1511991.9901710667</v>
      </c>
      <c r="AB30" s="816">
        <f t="shared" si="5"/>
        <v>1.4122879246188536</v>
      </c>
      <c r="AD30" s="823"/>
    </row>
    <row r="31" spans="1:30">
      <c r="A31" s="818" t="s">
        <v>1153</v>
      </c>
      <c r="B31" s="819">
        <v>6</v>
      </c>
      <c r="C31" s="820">
        <v>6</v>
      </c>
      <c r="D31" s="820">
        <v>3</v>
      </c>
      <c r="E31" s="820">
        <v>3</v>
      </c>
      <c r="F31" s="820">
        <v>635753.66709999996</v>
      </c>
      <c r="G31" s="820">
        <v>451703.61600000004</v>
      </c>
      <c r="H31" s="820">
        <v>110006.69724640001</v>
      </c>
      <c r="I31" s="820">
        <v>1231584.870850788</v>
      </c>
      <c r="J31" s="821">
        <f>'[3]Staff Details 2022-2024'!J208</f>
        <v>654826.27711299993</v>
      </c>
      <c r="K31" s="821">
        <f>'[3]Staff Details 2022-2024'!M208</f>
        <v>468773.76</v>
      </c>
      <c r="L31" s="821">
        <f t="shared" si="3"/>
        <v>198489.61949311802</v>
      </c>
      <c r="M31" s="821">
        <f>'[3]Staff Details 2022-2024'!T208</f>
        <v>1322089.656606118</v>
      </c>
      <c r="N31" s="822">
        <f>'[3]Staff Details 2022-2024'!V208</f>
        <v>674471.06542639015</v>
      </c>
      <c r="O31" s="822">
        <f>'[3]Staff Details 2022-2024'!Y208</f>
        <v>492212.44800000009</v>
      </c>
      <c r="P31" s="822">
        <f t="shared" si="4"/>
        <v>154284.57202645694</v>
      </c>
      <c r="Q31" s="822">
        <f>'[3]Staff Details 2022-2024'!AF208</f>
        <v>1320968.0854528472</v>
      </c>
      <c r="R31" s="822">
        <f>'[3]Staff Details 2022-2024'!AH208</f>
        <v>694705.1973891817</v>
      </c>
      <c r="S31" s="822">
        <f>'[3]Staff Details 2022-2024'!AK208</f>
        <v>511900.94592000003</v>
      </c>
      <c r="T31" s="822">
        <f t="shared" si="0"/>
        <v>159331.8780795972</v>
      </c>
      <c r="U31" s="822">
        <f>'[3]Staff Details 2022-2024'!AR208</f>
        <v>1365938.0213887789</v>
      </c>
      <c r="V31" s="823">
        <f t="shared" si="1"/>
        <v>2686906.1068416261</v>
      </c>
      <c r="W31" s="821">
        <f t="shared" si="2"/>
        <v>4008995.7634477443</v>
      </c>
      <c r="X31" s="823"/>
      <c r="Y31" s="823">
        <v>3554555.9222042705</v>
      </c>
      <c r="AB31" s="816">
        <f t="shared" si="5"/>
        <v>0.12784714917684115</v>
      </c>
      <c r="AD31" s="823"/>
    </row>
    <row r="32" spans="1:30">
      <c r="A32" s="818" t="s">
        <v>1154</v>
      </c>
      <c r="B32" s="819">
        <v>5</v>
      </c>
      <c r="C32" s="820">
        <v>6</v>
      </c>
      <c r="D32" s="813">
        <v>5.5</v>
      </c>
      <c r="E32" s="813">
        <v>5.5</v>
      </c>
      <c r="F32" s="820">
        <v>453235.15517102001</v>
      </c>
      <c r="G32" s="820">
        <v>107007.48240000001</v>
      </c>
      <c r="H32" s="820">
        <v>93127.013968587009</v>
      </c>
      <c r="I32" s="820">
        <v>656426.9206765946</v>
      </c>
      <c r="J32" s="821">
        <f>'[3]Staff Details 2022-2024'!J209</f>
        <v>479711.40851815057</v>
      </c>
      <c r="K32" s="821">
        <f>'[3]Staff Details 2022-2024'!M209</f>
        <v>109979.944256</v>
      </c>
      <c r="L32" s="821">
        <f t="shared" si="3"/>
        <v>101645.27512095367</v>
      </c>
      <c r="M32" s="821">
        <f>'[3]Staff Details 2022-2024'!T209</f>
        <v>691336.62789510423</v>
      </c>
      <c r="N32" s="822">
        <f>'[3]Staff Details 2022-2024'!V209</f>
        <v>494102.75077369518</v>
      </c>
      <c r="O32" s="822">
        <f>'[3]Staff Details 2022-2024'!Y209</f>
        <v>115478.94146880004</v>
      </c>
      <c r="P32" s="822">
        <f t="shared" si="4"/>
        <v>104238.11528399438</v>
      </c>
      <c r="Q32" s="822">
        <f>'[3]Staff Details 2022-2024'!AF209</f>
        <v>713819.8075264896</v>
      </c>
      <c r="R32" s="822">
        <f>'[3]Staff Details 2022-2024'!AH209</f>
        <v>508925.83329690597</v>
      </c>
      <c r="S32" s="822">
        <f>'[3]Staff Details 2022-2024'!AK209</f>
        <v>120098.09912755201</v>
      </c>
      <c r="T32" s="822">
        <f t="shared" si="0"/>
        <v>107671.04237581976</v>
      </c>
      <c r="U32" s="822">
        <f>'[3]Staff Details 2022-2024'!AR209</f>
        <v>736694.97480027773</v>
      </c>
      <c r="V32" s="823">
        <f t="shared" si="1"/>
        <v>1450514.7823267672</v>
      </c>
      <c r="W32" s="821">
        <f t="shared" si="2"/>
        <v>2141851.4102218719</v>
      </c>
      <c r="X32" s="823"/>
      <c r="Y32" s="823">
        <v>1696857.0967092516</v>
      </c>
      <c r="AB32" s="816">
        <f t="shared" si="5"/>
        <v>0.2622461929031068</v>
      </c>
      <c r="AD32" s="823"/>
    </row>
    <row r="33" spans="1:30">
      <c r="A33" s="818" t="s">
        <v>458</v>
      </c>
      <c r="B33" s="819">
        <v>2</v>
      </c>
      <c r="C33" s="820">
        <v>2</v>
      </c>
      <c r="D33" s="820">
        <v>2</v>
      </c>
      <c r="E33" s="820">
        <v>2</v>
      </c>
      <c r="F33" s="820">
        <v>240771.48839800002</v>
      </c>
      <c r="G33" s="820">
        <v>55023.696000000004</v>
      </c>
      <c r="H33" s="820">
        <v>61857.253049103987</v>
      </c>
      <c r="I33" s="820">
        <v>359664.14136975957</v>
      </c>
      <c r="J33" s="821">
        <f>'[3]Staff Details 2022-2024'!J210</f>
        <v>247994.63304994002</v>
      </c>
      <c r="K33" s="821">
        <f>'[3]Staff Details 2022-2024'!M210</f>
        <v>56434.559999999998</v>
      </c>
      <c r="L33" s="821">
        <f t="shared" si="3"/>
        <v>65358.344802516716</v>
      </c>
      <c r="M33" s="821">
        <f>'[3]Staff Details 2022-2024'!T210</f>
        <v>369787.53785245673</v>
      </c>
      <c r="N33" s="822">
        <f>'[3]Staff Details 2022-2024'!V210</f>
        <v>255434.47204143822</v>
      </c>
      <c r="O33" s="822">
        <f>'[3]Staff Details 2022-2024'!Y210</f>
        <v>59256.288000000008</v>
      </c>
      <c r="P33" s="822">
        <f t="shared" si="4"/>
        <v>67509.636252588243</v>
      </c>
      <c r="Q33" s="822">
        <f>'[3]Staff Details 2022-2024'!AF210</f>
        <v>382200.39629402646</v>
      </c>
      <c r="R33" s="822">
        <f>'[3]Staff Details 2022-2024'!AH210</f>
        <v>263097.50620268134</v>
      </c>
      <c r="S33" s="822">
        <f>'[3]Staff Details 2022-2024'!AK210</f>
        <v>61626.539520000006</v>
      </c>
      <c r="T33" s="822">
        <f t="shared" si="0"/>
        <v>69707.879444879931</v>
      </c>
      <c r="U33" s="822">
        <f>'[3]Staff Details 2022-2024'!AR210</f>
        <v>394431.92516756128</v>
      </c>
      <c r="V33" s="823">
        <f t="shared" si="1"/>
        <v>776632.32146158768</v>
      </c>
      <c r="W33" s="821">
        <f t="shared" si="2"/>
        <v>1146419.8593140445</v>
      </c>
      <c r="X33" s="823"/>
      <c r="Y33" s="823">
        <v>1062888.3468972617</v>
      </c>
      <c r="AB33" s="816">
        <f t="shared" si="5"/>
        <v>7.85891694650942E-2</v>
      </c>
      <c r="AD33" s="823"/>
    </row>
    <row r="34" spans="1:30">
      <c r="A34" s="818" t="s">
        <v>1155</v>
      </c>
      <c r="B34" s="819">
        <v>9</v>
      </c>
      <c r="C34" s="820">
        <v>8</v>
      </c>
      <c r="D34" s="820">
        <v>8</v>
      </c>
      <c r="E34" s="820">
        <v>8</v>
      </c>
      <c r="F34" s="820">
        <v>1402960.0542000004</v>
      </c>
      <c r="G34" s="820">
        <v>233124.32000000004</v>
      </c>
      <c r="H34" s="820">
        <v>364486.05176119995</v>
      </c>
      <c r="I34" s="820">
        <v>2012400.8475552285</v>
      </c>
      <c r="J34" s="821">
        <f>'[3]Staff Details 2022-2024'!J211</f>
        <v>1394098.028136</v>
      </c>
      <c r="K34" s="821">
        <f>'[3]Staff Details 2022-2024'!M211</f>
        <v>215931.04</v>
      </c>
      <c r="L34" s="821">
        <f t="shared" si="3"/>
        <v>381462.91119046672</v>
      </c>
      <c r="M34" s="821">
        <f>'[3]Staff Details 2022-2024'!T211</f>
        <v>1991491.9793264668</v>
      </c>
      <c r="N34" s="822">
        <f>'[3]Staff Details 2022-2024'!V211</f>
        <v>1435920.96898008</v>
      </c>
      <c r="O34" s="822">
        <f>'[3]Staff Details 2022-2024'!Y211</f>
        <v>226727.59200000003</v>
      </c>
      <c r="P34" s="822">
        <f t="shared" si="4"/>
        <v>393964.3196076554</v>
      </c>
      <c r="Q34" s="822">
        <f>'[3]Staff Details 2022-2024'!AF211</f>
        <v>2056612.8805877354</v>
      </c>
      <c r="R34" s="822">
        <f>'[3]Staff Details 2022-2024'!AH211</f>
        <v>1478998.5980494826</v>
      </c>
      <c r="S34" s="822">
        <f>'[3]Staff Details 2022-2024'!AK211</f>
        <v>235796.69568000003</v>
      </c>
      <c r="T34" s="822">
        <f t="shared" si="0"/>
        <v>406704.86673040281</v>
      </c>
      <c r="U34" s="822">
        <f>'[3]Staff Details 2022-2024'!AR211</f>
        <v>2121500.1604598854</v>
      </c>
      <c r="V34" s="823">
        <f t="shared" si="1"/>
        <v>4178113.0410476206</v>
      </c>
      <c r="W34" s="821">
        <f t="shared" si="2"/>
        <v>6169605.0203740876</v>
      </c>
      <c r="X34" s="823"/>
      <c r="Y34" s="823">
        <v>5769860.5636545196</v>
      </c>
      <c r="AB34" s="816">
        <f t="shared" si="5"/>
        <v>6.9281476096257233E-2</v>
      </c>
      <c r="AD34" s="823"/>
    </row>
    <row r="35" spans="1:30">
      <c r="A35" s="818" t="s">
        <v>1156</v>
      </c>
      <c r="B35" s="819">
        <v>3</v>
      </c>
      <c r="C35" s="820">
        <v>3</v>
      </c>
      <c r="D35" s="820">
        <v>3</v>
      </c>
      <c r="E35" s="820">
        <v>3</v>
      </c>
      <c r="F35" s="820">
        <v>289913.68439499999</v>
      </c>
      <c r="G35" s="820">
        <v>69503.616000000009</v>
      </c>
      <c r="H35" s="820">
        <v>79956.014214555005</v>
      </c>
      <c r="I35" s="820">
        <v>441951.82943613187</v>
      </c>
      <c r="J35" s="821">
        <f>'[3]Staff Details 2022-2024'!J212</f>
        <v>298611.09492685</v>
      </c>
      <c r="K35" s="821">
        <f>'[3]Staff Details 2022-2024'!M212</f>
        <v>71285.760000000009</v>
      </c>
      <c r="L35" s="821">
        <f t="shared" si="3"/>
        <v>84535.539704234572</v>
      </c>
      <c r="M35" s="821">
        <f>'[3]Staff Details 2022-2024'!T212</f>
        <v>454432.39463108458</v>
      </c>
      <c r="N35" s="822">
        <f>'[3]Staff Details 2022-2024'!V212</f>
        <v>307569.42777465552</v>
      </c>
      <c r="O35" s="822">
        <f>'[3]Staff Details 2022-2024'!Y212</f>
        <v>73179.288</v>
      </c>
      <c r="P35" s="822">
        <f t="shared" si="4"/>
        <v>87244.914094628009</v>
      </c>
      <c r="Q35" s="822">
        <f>'[3]Staff Details 2022-2024'!AF212</f>
        <v>467993.62986928353</v>
      </c>
      <c r="R35" s="822">
        <f>'[3]Staff Details 2022-2024'!AH212</f>
        <v>316796.51060789521</v>
      </c>
      <c r="S35" s="822">
        <f>'[3]Staff Details 2022-2024'!AK212</f>
        <v>76106.459520000004</v>
      </c>
      <c r="T35" s="822">
        <f t="shared" si="0"/>
        <v>90062.526865528867</v>
      </c>
      <c r="U35" s="822">
        <f>'[3]Staff Details 2022-2024'!AR212</f>
        <v>482965.49699342408</v>
      </c>
      <c r="V35" s="823">
        <f t="shared" si="1"/>
        <v>950959.12686270755</v>
      </c>
      <c r="W35" s="821">
        <f t="shared" si="2"/>
        <v>1405391.5214937923</v>
      </c>
      <c r="X35" s="823"/>
      <c r="Y35" s="823">
        <v>1440079.0351797449</v>
      </c>
      <c r="AB35" s="816">
        <f t="shared" si="5"/>
        <v>-2.4087229130186683E-2</v>
      </c>
      <c r="AD35" s="823"/>
    </row>
    <row r="36" spans="1:30">
      <c r="A36" s="818" t="s">
        <v>1157</v>
      </c>
      <c r="B36" s="819">
        <v>3</v>
      </c>
      <c r="C36" s="820">
        <v>3</v>
      </c>
      <c r="D36" s="820">
        <v>3</v>
      </c>
      <c r="E36" s="820">
        <v>3</v>
      </c>
      <c r="F36" s="820">
        <v>183133.91760000002</v>
      </c>
      <c r="G36" s="820">
        <v>47641.775999999998</v>
      </c>
      <c r="H36" s="820">
        <v>38646.472367799994</v>
      </c>
      <c r="I36" s="820">
        <v>270674.34031621012</v>
      </c>
      <c r="J36" s="821">
        <f>'[3]Staff Details 2022-2024'!J213</f>
        <v>188627.93512800001</v>
      </c>
      <c r="K36" s="821">
        <f>'[3]Staff Details 2022-2024'!M213</f>
        <v>29411.200000000001</v>
      </c>
      <c r="L36" s="821">
        <f t="shared" si="3"/>
        <v>43090.876392221413</v>
      </c>
      <c r="M36" s="821">
        <f>'[3]Staff Details 2022-2024'!T213</f>
        <v>261130.01152022142</v>
      </c>
      <c r="N36" s="822">
        <f>'[3]Staff Details 2022-2024'!V213</f>
        <v>194286.77318183999</v>
      </c>
      <c r="O36" s="822">
        <f>'[3]Staff Details 2022-2024'!Y213</f>
        <v>30881.760000000002</v>
      </c>
      <c r="P36" s="822">
        <f t="shared" si="4"/>
        <v>43531.663838798391</v>
      </c>
      <c r="Q36" s="822">
        <f>'[3]Staff Details 2022-2024'!AF213</f>
        <v>268700.19702063838</v>
      </c>
      <c r="R36" s="822">
        <f>'[3]Staff Details 2022-2024'!AH213</f>
        <v>200115.37637729524</v>
      </c>
      <c r="S36" s="822">
        <f>'[3]Staff Details 2022-2024'!AK213</f>
        <v>32117.030400000003</v>
      </c>
      <c r="T36" s="822">
        <f t="shared" si="0"/>
        <v>44937.641240009034</v>
      </c>
      <c r="U36" s="822">
        <f>'[3]Staff Details 2022-2024'!AR213</f>
        <v>277170.04801730427</v>
      </c>
      <c r="V36" s="823">
        <f t="shared" si="1"/>
        <v>545870.24503794266</v>
      </c>
      <c r="W36" s="821">
        <f t="shared" si="2"/>
        <v>807000.25655816414</v>
      </c>
      <c r="X36" s="823"/>
      <c r="Y36" s="823">
        <v>759473.7152694331</v>
      </c>
      <c r="AB36" s="816">
        <f t="shared" si="5"/>
        <v>6.2578256933974785E-2</v>
      </c>
      <c r="AD36" s="823"/>
    </row>
    <row r="37" spans="1:30">
      <c r="A37" s="818" t="s">
        <v>1158</v>
      </c>
      <c r="B37" s="819">
        <v>0</v>
      </c>
      <c r="C37" s="820">
        <v>2</v>
      </c>
      <c r="D37" s="820">
        <v>2</v>
      </c>
      <c r="E37" s="820">
        <v>2</v>
      </c>
      <c r="F37" s="820">
        <v>162377.40745200001</v>
      </c>
      <c r="G37" s="820">
        <v>66607.632000000012</v>
      </c>
      <c r="H37" s="820">
        <v>33160.674193592</v>
      </c>
      <c r="I37" s="820">
        <v>263236.94070106337</v>
      </c>
      <c r="J37" s="821">
        <f>'[3]Staff Details 2022-2024'!J214</f>
        <v>167248.72967556003</v>
      </c>
      <c r="K37" s="821">
        <f>'[3]Staff Details 2022-2024'!M214</f>
        <v>68315.520000000004</v>
      </c>
      <c r="L37" s="821">
        <f t="shared" si="3"/>
        <v>35965.368663777903</v>
      </c>
      <c r="M37" s="821">
        <f>'[3]Staff Details 2022-2024'!T214</f>
        <v>271529.61833933793</v>
      </c>
      <c r="N37" s="822">
        <f>'[3]Staff Details 2022-2024'!V214</f>
        <v>172266.19156582683</v>
      </c>
      <c r="O37" s="822">
        <f>'[3]Staff Details 2022-2024'!Y214</f>
        <v>71731.296000000002</v>
      </c>
      <c r="P37" s="822">
        <f t="shared" si="4"/>
        <v>36152.109729541262</v>
      </c>
      <c r="Q37" s="822">
        <f>'[3]Staff Details 2022-2024'!AF214</f>
        <v>280149.59729536809</v>
      </c>
      <c r="R37" s="822">
        <f>'[3]Staff Details 2022-2024'!AH214</f>
        <v>177434.17731280165</v>
      </c>
      <c r="S37" s="822">
        <f>'[3]Staff Details 2022-2024'!AK214</f>
        <v>74600.547840000014</v>
      </c>
      <c r="T37" s="822">
        <f t="shared" si="0"/>
        <v>37344.522996185173</v>
      </c>
      <c r="U37" s="822">
        <f>'[3]Staff Details 2022-2024'!AR214</f>
        <v>289379.24814898684</v>
      </c>
      <c r="V37" s="823">
        <f t="shared" si="1"/>
        <v>569528.84544435493</v>
      </c>
      <c r="W37" s="821">
        <f t="shared" si="2"/>
        <v>841058.4637836928</v>
      </c>
      <c r="X37" s="823"/>
      <c r="Y37" s="823">
        <v>784596.46337091248</v>
      </c>
      <c r="AB37" s="816">
        <f t="shared" si="5"/>
        <v>7.1963108487895777E-2</v>
      </c>
      <c r="AD37" s="823"/>
    </row>
    <row r="38" spans="1:30">
      <c r="A38" s="818" t="s">
        <v>1159</v>
      </c>
      <c r="B38" s="819">
        <v>1</v>
      </c>
      <c r="C38" s="820">
        <v>0</v>
      </c>
      <c r="D38" s="820">
        <v>0</v>
      </c>
      <c r="E38" s="820">
        <v>0</v>
      </c>
      <c r="F38" s="820">
        <v>0</v>
      </c>
      <c r="G38" s="820">
        <v>0</v>
      </c>
      <c r="H38" s="820">
        <v>0</v>
      </c>
      <c r="I38" s="820">
        <v>0</v>
      </c>
      <c r="J38" s="821">
        <f>'[3]Staff Details 2022-2024'!J215</f>
        <v>0</v>
      </c>
      <c r="K38" s="821">
        <f>'[3]Staff Details 2022-2024'!M215</f>
        <v>0</v>
      </c>
      <c r="L38" s="821">
        <f t="shared" si="3"/>
        <v>0</v>
      </c>
      <c r="M38" s="821">
        <f>'[3]Staff Details 2022-2024'!T215</f>
        <v>0</v>
      </c>
      <c r="N38" s="822">
        <f>'[3]Staff Details 2022-2024'!V215</f>
        <v>0</v>
      </c>
      <c r="O38" s="822">
        <f>'[3]Staff Details 2022-2024'!Y215</f>
        <v>0</v>
      </c>
      <c r="P38" s="822">
        <f t="shared" si="4"/>
        <v>0</v>
      </c>
      <c r="Q38" s="822">
        <f>'[3]Staff Details 2022-2024'!AF215</f>
        <v>0</v>
      </c>
      <c r="R38" s="822">
        <f>'[3]Staff Details 2022-2024'!AH215</f>
        <v>0</v>
      </c>
      <c r="S38" s="822">
        <f>'[3]Staff Details 2022-2024'!AK215</f>
        <v>0</v>
      </c>
      <c r="T38" s="822">
        <f t="shared" si="0"/>
        <v>0</v>
      </c>
      <c r="U38" s="822">
        <f>'[3]Staff Details 2022-2024'!AR215</f>
        <v>0</v>
      </c>
      <c r="V38" s="823">
        <f t="shared" si="1"/>
        <v>0</v>
      </c>
      <c r="W38" s="821">
        <f t="shared" si="2"/>
        <v>0</v>
      </c>
      <c r="X38" s="823"/>
      <c r="Y38" s="823">
        <v>0</v>
      </c>
      <c r="AD38" s="823"/>
    </row>
    <row r="39" spans="1:30">
      <c r="A39" s="818" t="s">
        <v>1160</v>
      </c>
      <c r="B39" s="820">
        <v>2</v>
      </c>
      <c r="C39" s="820">
        <v>2</v>
      </c>
      <c r="D39" s="820">
        <v>2</v>
      </c>
      <c r="E39" s="820">
        <v>2</v>
      </c>
      <c r="F39" s="820">
        <v>194405.44800199999</v>
      </c>
      <c r="G39" s="820">
        <v>28959.84</v>
      </c>
      <c r="H39" s="820">
        <v>48292.32639858</v>
      </c>
      <c r="I39" s="820">
        <v>273221.23073301889</v>
      </c>
      <c r="J39" s="821">
        <f>'[3]Staff Details 2022-2024'!J216</f>
        <v>200237.61144206004</v>
      </c>
      <c r="K39" s="821">
        <f>'[3]Staff Details 2022-2024'!M216</f>
        <v>29702.400000000001</v>
      </c>
      <c r="L39" s="821">
        <f t="shared" si="3"/>
        <v>51861.924389475804</v>
      </c>
      <c r="M39" s="821">
        <f>'[3]Staff Details 2022-2024'!T216</f>
        <v>281801.93583153584</v>
      </c>
      <c r="N39" s="822">
        <f>'[3]Staff Details 2022-2024'!V216</f>
        <v>206244.73978532181</v>
      </c>
      <c r="O39" s="822">
        <f>'[3]Staff Details 2022-2024'!Y216</f>
        <v>31187.520000000004</v>
      </c>
      <c r="P39" s="822">
        <f t="shared" si="4"/>
        <v>53294.842443737391</v>
      </c>
      <c r="Q39" s="822">
        <f>'[3]Staff Details 2022-2024'!AF216</f>
        <v>290727.10222905921</v>
      </c>
      <c r="R39" s="822">
        <f>'[3]Staff Details 2022-2024'!AH216</f>
        <v>212432.0819788815</v>
      </c>
      <c r="S39" s="822">
        <f>'[3]Staff Details 2022-2024'!AK216</f>
        <v>32435.020800000006</v>
      </c>
      <c r="T39" s="822">
        <f t="shared" si="0"/>
        <v>55016.575899353476</v>
      </c>
      <c r="U39" s="822">
        <f>'[3]Staff Details 2022-2024'!AR216</f>
        <v>299883.67867823498</v>
      </c>
      <c r="V39" s="823">
        <f t="shared" si="1"/>
        <v>590610.78090729425</v>
      </c>
      <c r="W39" s="821">
        <f t="shared" si="2"/>
        <v>872412.71673883009</v>
      </c>
      <c r="X39" s="823"/>
      <c r="Y39" s="823">
        <v>799516.28606994031</v>
      </c>
      <c r="AB39" s="816">
        <f>W39/Y39-1</f>
        <v>9.1175667011382133E-2</v>
      </c>
      <c r="AD39" s="823"/>
    </row>
    <row r="40" spans="1:30">
      <c r="A40" s="818" t="s">
        <v>1161</v>
      </c>
      <c r="B40" s="820">
        <v>9</v>
      </c>
      <c r="C40" s="820">
        <v>8</v>
      </c>
      <c r="D40" s="820">
        <v>9</v>
      </c>
      <c r="E40" s="820">
        <v>9</v>
      </c>
      <c r="F40" s="820">
        <v>952523.51794249995</v>
      </c>
      <c r="G40" s="820">
        <v>192440.97600000002</v>
      </c>
      <c r="H40" s="820">
        <v>184196.99519369542</v>
      </c>
      <c r="I40" s="820">
        <v>1338626.4568656427</v>
      </c>
      <c r="J40" s="821">
        <f>'[3]Staff Details 2022-2024'!J217</f>
        <v>981099.22348077514</v>
      </c>
      <c r="K40" s="821">
        <f>'[3]Staff Details 2022-2024'!M217</f>
        <v>197375.36000000002</v>
      </c>
      <c r="L40" s="821">
        <f t="shared" si="3"/>
        <v>211246.47296679948</v>
      </c>
      <c r="M40" s="821">
        <f>'[3]Staff Details 2022-2024'!T217</f>
        <v>1389721.0564475746</v>
      </c>
      <c r="N40" s="822">
        <f>'[3]Staff Details 2022-2024'!V217</f>
        <v>1010532.2001851985</v>
      </c>
      <c r="O40" s="822">
        <f>'[3]Staff Details 2022-2024'!Y217</f>
        <v>207244.12800000003</v>
      </c>
      <c r="P40" s="822">
        <f t="shared" si="4"/>
        <v>214362.7262855795</v>
      </c>
      <c r="Q40" s="822">
        <f>'[3]Staff Details 2022-2024'!AF217</f>
        <v>1432139.054470778</v>
      </c>
      <c r="R40" s="822">
        <f>'[3]Staff Details 2022-2024'!AH217</f>
        <v>1040848.1661907544</v>
      </c>
      <c r="S40" s="822">
        <f>'[3]Staff Details 2022-2024'!AK217</f>
        <v>215533.89312000002</v>
      </c>
      <c r="T40" s="822">
        <f t="shared" si="0"/>
        <v>221136.29518445197</v>
      </c>
      <c r="U40" s="822">
        <f>'[3]Staff Details 2022-2024'!AR217</f>
        <v>1477518.3544952064</v>
      </c>
      <c r="V40" s="823">
        <f t="shared" si="1"/>
        <v>2909657.4089659844</v>
      </c>
      <c r="W40" s="821">
        <f t="shared" si="2"/>
        <v>4299378.4654135592</v>
      </c>
      <c r="X40" s="823"/>
      <c r="Y40" s="823">
        <v>4191593.9638498724</v>
      </c>
      <c r="AB40" s="816">
        <f>W40/Y40-1</f>
        <v>2.571444240383669E-2</v>
      </c>
      <c r="AD40" s="823"/>
    </row>
    <row r="41" spans="1:30">
      <c r="A41" s="818" t="s">
        <v>1162</v>
      </c>
      <c r="B41" s="820">
        <v>2</v>
      </c>
      <c r="C41" s="820">
        <v>2</v>
      </c>
      <c r="D41" s="820">
        <v>2</v>
      </c>
      <c r="E41" s="820">
        <v>2</v>
      </c>
      <c r="F41" s="820">
        <v>138659.757308</v>
      </c>
      <c r="G41" s="820">
        <v>81087.552000000011</v>
      </c>
      <c r="H41" s="820">
        <v>38258.708010235998</v>
      </c>
      <c r="I41" s="820">
        <v>259232.15997409716</v>
      </c>
      <c r="J41" s="821">
        <f>'[3]Staff Details 2022-2024'!J218</f>
        <v>156509.06650000002</v>
      </c>
      <c r="K41" s="821">
        <f>'[3]Staff Details 2022-2024'!M218</f>
        <v>56434.559999999998</v>
      </c>
      <c r="L41" s="821">
        <f t="shared" si="3"/>
        <v>44633.328452095011</v>
      </c>
      <c r="M41" s="821">
        <f>'[3]Staff Details 2022-2024'!T218</f>
        <v>257576.95495209502</v>
      </c>
      <c r="N41" s="822">
        <f>'[3]Staff Details 2022-2024'!V218</f>
        <v>161204.338495</v>
      </c>
      <c r="O41" s="822">
        <f>'[3]Staff Details 2022-2024'!Y218</f>
        <v>59256.288000000008</v>
      </c>
      <c r="P41" s="822">
        <f t="shared" si="4"/>
        <v>45635.815975747442</v>
      </c>
      <c r="Q41" s="822">
        <f>'[3]Staff Details 2022-2024'!AF218</f>
        <v>266096.44247074745</v>
      </c>
      <c r="R41" s="822">
        <f>'[3]Staff Details 2022-2024'!AH218</f>
        <v>166040.46864985002</v>
      </c>
      <c r="S41" s="822">
        <f>'[3]Staff Details 2022-2024'!AK218</f>
        <v>61626.539520000006</v>
      </c>
      <c r="T41" s="822">
        <f t="shared" si="0"/>
        <v>47104.08121119377</v>
      </c>
      <c r="U41" s="822">
        <f>'[3]Staff Details 2022-2024'!AR218</f>
        <v>274771.0893810438</v>
      </c>
      <c r="V41" s="823">
        <f t="shared" si="1"/>
        <v>540867.53185179131</v>
      </c>
      <c r="W41" s="821">
        <f t="shared" si="2"/>
        <v>798444.48680388625</v>
      </c>
      <c r="X41" s="823"/>
      <c r="Y41" s="823">
        <v>743129.27518387453</v>
      </c>
      <c r="AB41" s="816">
        <f>W41/Y41-1</f>
        <v>7.4435516762981768E-2</v>
      </c>
      <c r="AD41" s="823"/>
    </row>
    <row r="42" spans="1:30">
      <c r="A42" s="818" t="s">
        <v>1138</v>
      </c>
      <c r="B42" s="827">
        <f>SUM(B9:B41)</f>
        <v>160</v>
      </c>
      <c r="C42" s="827">
        <f>SUM(C9:C41)</f>
        <v>151.5</v>
      </c>
      <c r="D42" s="827">
        <f>SUM(D9:D41)</f>
        <v>151.5</v>
      </c>
      <c r="E42" s="827">
        <f>SUM(E9:E41)</f>
        <v>149.5</v>
      </c>
      <c r="F42" s="827">
        <f>SUM(F9:F41)</f>
        <v>14914814.518223714</v>
      </c>
      <c r="G42" s="827">
        <f t="shared" ref="G42:L42" si="6">SUM(G9:G41)</f>
        <v>3909008.9997940548</v>
      </c>
      <c r="H42" s="827">
        <f t="shared" si="6"/>
        <v>3654034.407648284</v>
      </c>
      <c r="I42" s="827">
        <f t="shared" si="6"/>
        <v>22298430.655529343</v>
      </c>
      <c r="J42" s="828">
        <f t="shared" si="6"/>
        <v>15905432.007412219</v>
      </c>
      <c r="K42" s="828">
        <f t="shared" si="6"/>
        <v>3996434.6560242176</v>
      </c>
      <c r="L42" s="828">
        <f t="shared" si="6"/>
        <v>3787294.3707835902</v>
      </c>
      <c r="M42" s="828">
        <f>SUM(M9:M41)</f>
        <v>23689161.034220025</v>
      </c>
      <c r="N42" s="829">
        <f t="shared" ref="N42:T42" si="7">SUM(N9:N41)</f>
        <v>16492619.138467917</v>
      </c>
      <c r="O42" s="829">
        <f>SUM(O9:O41)</f>
        <v>4152589.6595454281</v>
      </c>
      <c r="P42" s="829">
        <f>SUM(P9:P41)</f>
        <v>3898445.165333983</v>
      </c>
      <c r="Q42" s="829">
        <f t="shared" si="7"/>
        <v>24543653.963347327</v>
      </c>
      <c r="R42" s="829">
        <f>SUM(R9:R41)</f>
        <v>16987397.712621957</v>
      </c>
      <c r="S42" s="829">
        <f t="shared" si="7"/>
        <v>4318693.2459272454</v>
      </c>
      <c r="T42" s="829">
        <f t="shared" si="7"/>
        <v>4027951.0212790701</v>
      </c>
      <c r="U42" s="829">
        <f>SUM(U9:U41)</f>
        <v>25334041.979828265</v>
      </c>
      <c r="V42" s="830">
        <f>SUM(V9:V41)</f>
        <v>49877695.943175592</v>
      </c>
      <c r="W42" s="828">
        <f>SUM(W9:W41)</f>
        <v>73566856.977395639</v>
      </c>
      <c r="X42" s="830"/>
      <c r="Y42" s="830">
        <v>67590661.336406454</v>
      </c>
      <c r="AB42" s="816">
        <f>W42/Y42-1</f>
        <v>8.841747547408918E-2</v>
      </c>
      <c r="AD42" s="831"/>
    </row>
    <row r="43" spans="1:30">
      <c r="A43" s="818"/>
      <c r="B43" s="832"/>
      <c r="C43" s="832"/>
      <c r="D43" s="833"/>
      <c r="E43" s="833"/>
      <c r="F43" s="832"/>
      <c r="G43" s="832"/>
      <c r="H43" s="832"/>
      <c r="I43" s="832"/>
      <c r="J43" s="832"/>
      <c r="K43" s="832"/>
      <c r="L43" s="832"/>
      <c r="M43" s="832"/>
      <c r="N43" s="831"/>
      <c r="O43" s="831"/>
      <c r="P43" s="831"/>
      <c r="Q43" s="831"/>
      <c r="R43" s="831"/>
      <c r="S43" s="831"/>
      <c r="T43" s="831"/>
      <c r="U43" s="831"/>
      <c r="V43" s="831"/>
      <c r="W43" s="832"/>
      <c r="X43" s="831"/>
      <c r="Y43" s="831"/>
      <c r="AB43" s="834"/>
      <c r="AD43" s="831"/>
    </row>
    <row r="44" spans="1:30">
      <c r="A44" s="818" t="s">
        <v>1163</v>
      </c>
      <c r="B44" s="832"/>
      <c r="C44" s="832"/>
      <c r="D44" s="833"/>
      <c r="E44" s="833"/>
      <c r="F44" s="832"/>
      <c r="G44" s="832"/>
      <c r="H44" s="832"/>
      <c r="I44" s="832"/>
      <c r="J44" s="832"/>
      <c r="K44" s="832"/>
      <c r="L44" s="832"/>
      <c r="M44" s="832"/>
      <c r="N44" s="831"/>
      <c r="O44" s="831"/>
      <c r="P44" s="831"/>
      <c r="Q44" s="831"/>
      <c r="R44" s="831"/>
      <c r="S44" s="831"/>
      <c r="T44" s="831"/>
      <c r="U44" s="831"/>
      <c r="V44" s="831"/>
      <c r="W44" s="832"/>
      <c r="X44" s="831"/>
      <c r="Y44" s="831"/>
      <c r="AB44" s="834"/>
      <c r="AD44" s="831"/>
    </row>
    <row r="45" spans="1:30">
      <c r="A45" s="818"/>
      <c r="B45" s="832"/>
      <c r="C45" s="832"/>
      <c r="D45" s="833"/>
      <c r="E45" s="833"/>
      <c r="F45" s="832"/>
      <c r="G45" s="832"/>
      <c r="H45" s="832"/>
      <c r="I45" s="832"/>
      <c r="J45" s="831"/>
      <c r="K45" s="831"/>
      <c r="L45" s="831"/>
      <c r="M45" s="831"/>
      <c r="N45" s="831"/>
      <c r="O45" s="831"/>
      <c r="P45" s="831"/>
      <c r="Q45" s="831"/>
      <c r="R45" s="831"/>
      <c r="S45" s="831"/>
      <c r="T45" s="831"/>
      <c r="U45" s="831"/>
      <c r="V45" s="831"/>
      <c r="W45" s="831"/>
      <c r="X45" s="831"/>
      <c r="Y45" s="831"/>
      <c r="AB45" s="834"/>
      <c r="AD45" s="831"/>
    </row>
    <row r="46" spans="1:30" ht="54">
      <c r="A46" s="818"/>
      <c r="B46" s="832"/>
      <c r="C46" s="832"/>
      <c r="D46" s="833"/>
      <c r="E46" s="833"/>
      <c r="F46" s="835" t="s">
        <v>1164</v>
      </c>
      <c r="G46" s="835"/>
      <c r="H46" s="835" t="s">
        <v>1165</v>
      </c>
      <c r="I46" s="835" t="s">
        <v>1166</v>
      </c>
      <c r="J46" s="831"/>
      <c r="K46" s="831"/>
      <c r="L46" s="831"/>
      <c r="M46" s="831"/>
      <c r="N46" s="831"/>
      <c r="O46" s="831"/>
      <c r="P46" s="831"/>
      <c r="Q46" s="831"/>
      <c r="R46" s="831"/>
      <c r="S46" s="831"/>
      <c r="T46" s="831"/>
      <c r="U46" s="831"/>
      <c r="V46" s="831"/>
      <c r="W46" s="831"/>
      <c r="X46" s="831"/>
      <c r="Y46" s="831"/>
      <c r="AB46" s="834"/>
      <c r="AD46" s="831"/>
    </row>
    <row r="47" spans="1:30">
      <c r="A47" s="818"/>
      <c r="B47" s="832"/>
      <c r="C47" s="832"/>
      <c r="D47" s="833"/>
      <c r="E47" s="833"/>
      <c r="F47" s="832"/>
      <c r="G47" s="832"/>
      <c r="H47" s="832"/>
      <c r="I47" s="832"/>
      <c r="J47" s="834">
        <f>J42/F42-1</f>
        <v>6.6418357933859307E-2</v>
      </c>
      <c r="K47" s="836"/>
      <c r="L47" s="831"/>
      <c r="M47" s="831"/>
      <c r="N47" s="831"/>
      <c r="O47" s="834">
        <f>O42/K42</f>
        <v>1.039073578567292</v>
      </c>
      <c r="P47" s="831"/>
      <c r="Q47" s="831"/>
      <c r="R47" s="831"/>
      <c r="S47" s="834"/>
      <c r="T47" s="831"/>
      <c r="U47" s="831"/>
      <c r="V47" s="831"/>
      <c r="W47" s="831"/>
      <c r="X47" s="831"/>
      <c r="Y47" s="831"/>
      <c r="AB47" s="834"/>
      <c r="AD47" s="831"/>
    </row>
    <row r="48" spans="1:30">
      <c r="A48" s="818"/>
      <c r="B48" s="832"/>
      <c r="C48" s="832"/>
      <c r="D48" s="833"/>
      <c r="E48" s="833"/>
      <c r="F48" s="832"/>
      <c r="G48" s="837">
        <f>G42/$F42</f>
        <v>0.26208901190275075</v>
      </c>
      <c r="H48" s="837">
        <f>H42/$F42</f>
        <v>0.24499362048274823</v>
      </c>
      <c r="I48" s="837">
        <f>I42/$F42</f>
        <v>1.4950524948388686</v>
      </c>
      <c r="J48" s="831"/>
      <c r="K48" s="831"/>
      <c r="L48" s="831"/>
      <c r="M48" s="831"/>
      <c r="N48" s="831"/>
      <c r="O48" s="831"/>
      <c r="P48" s="831"/>
      <c r="Q48" s="831"/>
      <c r="R48" s="831"/>
      <c r="S48" s="831"/>
      <c r="T48" s="831"/>
      <c r="U48" s="831"/>
      <c r="V48" s="831"/>
      <c r="W48" s="831"/>
      <c r="X48" s="831"/>
      <c r="Y48" s="831"/>
      <c r="AB48" s="834"/>
      <c r="AD48" s="831"/>
    </row>
    <row r="49" spans="1:41">
      <c r="A49" s="818"/>
      <c r="B49" s="832"/>
      <c r="C49" s="832"/>
      <c r="D49" s="833"/>
      <c r="E49" s="833"/>
      <c r="F49" s="832"/>
      <c r="G49" s="832"/>
      <c r="H49" s="832"/>
      <c r="I49" s="832"/>
      <c r="J49" s="831"/>
      <c r="K49" s="831"/>
      <c r="L49" s="831"/>
      <c r="M49" s="831"/>
      <c r="N49" s="831"/>
      <c r="O49" s="831"/>
      <c r="P49" s="831"/>
      <c r="Q49" s="831"/>
      <c r="R49" s="831"/>
      <c r="S49" s="831"/>
      <c r="T49" s="831"/>
      <c r="U49" s="831"/>
      <c r="V49" s="831"/>
      <c r="W49" s="831"/>
      <c r="X49" s="831"/>
      <c r="Y49" s="831"/>
      <c r="AB49" s="834"/>
      <c r="AD49" s="831"/>
    </row>
    <row r="50" spans="1:41">
      <c r="A50" s="818"/>
      <c r="B50" s="832"/>
      <c r="C50" s="832"/>
      <c r="D50" s="833"/>
      <c r="E50" s="833"/>
      <c r="F50" s="832"/>
      <c r="G50" s="832"/>
      <c r="H50" s="832"/>
      <c r="I50" s="832"/>
      <c r="J50" s="831"/>
      <c r="K50" s="831"/>
      <c r="L50" s="831"/>
      <c r="M50" s="831"/>
      <c r="N50" s="831"/>
      <c r="O50" s="831"/>
      <c r="P50" s="831"/>
      <c r="Q50" s="831"/>
      <c r="R50" s="831"/>
      <c r="S50" s="831"/>
      <c r="T50" s="831"/>
      <c r="U50" s="831"/>
      <c r="V50" s="831"/>
      <c r="W50" s="831"/>
      <c r="X50" s="831"/>
      <c r="Y50" s="831"/>
      <c r="AB50" s="834"/>
      <c r="AD50" s="831"/>
    </row>
    <row r="51" spans="1:41">
      <c r="A51" s="818"/>
      <c r="B51" s="832"/>
      <c r="C51" s="832"/>
      <c r="D51" s="833"/>
      <c r="E51" s="833"/>
      <c r="F51" s="832">
        <f>F42/D42</f>
        <v>98447.620582334741</v>
      </c>
      <c r="G51" s="832"/>
      <c r="H51" s="832"/>
      <c r="I51" s="832"/>
      <c r="J51" s="831"/>
      <c r="K51" s="831"/>
      <c r="L51" s="831"/>
      <c r="M51" s="831"/>
      <c r="N51" s="831"/>
      <c r="O51" s="831"/>
      <c r="P51" s="831"/>
      <c r="Q51" s="831"/>
      <c r="R51" s="831"/>
      <c r="S51" s="831"/>
      <c r="T51" s="831"/>
      <c r="U51" s="831"/>
      <c r="V51" s="831"/>
      <c r="W51" s="831"/>
      <c r="X51" s="831"/>
      <c r="Y51" s="831"/>
      <c r="AB51" s="834"/>
      <c r="AD51" s="831"/>
    </row>
    <row r="52" spans="1:41">
      <c r="A52" s="818"/>
      <c r="B52" s="819"/>
      <c r="C52" s="838"/>
      <c r="D52" s="839"/>
      <c r="E52" s="839"/>
      <c r="F52" s="838"/>
      <c r="G52" s="838"/>
      <c r="H52" s="838"/>
      <c r="I52" s="838"/>
      <c r="J52" s="831"/>
      <c r="K52" s="831"/>
      <c r="L52" s="831"/>
      <c r="M52" s="831"/>
      <c r="N52" s="831"/>
      <c r="O52" s="831"/>
      <c r="P52" s="831"/>
      <c r="Q52" s="831"/>
      <c r="R52" s="831"/>
      <c r="S52" s="831"/>
      <c r="T52" s="831"/>
      <c r="U52" s="831"/>
      <c r="V52" s="831"/>
      <c r="W52" s="831"/>
      <c r="X52" s="831"/>
      <c r="Y52" s="831"/>
      <c r="AB52" s="834"/>
      <c r="AC52" s="840"/>
      <c r="AD52" s="831"/>
      <c r="AE52" s="840"/>
      <c r="AF52" s="840"/>
      <c r="AG52" s="840"/>
      <c r="AH52" s="840"/>
      <c r="AI52" s="840"/>
      <c r="AJ52" s="840"/>
      <c r="AK52" s="840"/>
      <c r="AL52" s="840"/>
      <c r="AM52" s="840"/>
      <c r="AN52" s="840"/>
      <c r="AO52" s="840"/>
    </row>
    <row r="53" spans="1:41">
      <c r="A53" s="818"/>
      <c r="B53" s="832"/>
      <c r="C53" s="811"/>
      <c r="D53" s="841"/>
      <c r="E53" s="841"/>
      <c r="F53" s="811"/>
      <c r="G53" s="811"/>
      <c r="H53" s="811"/>
      <c r="I53" s="811"/>
      <c r="J53" s="831"/>
      <c r="K53" s="831"/>
      <c r="L53" s="831"/>
      <c r="M53" s="831"/>
      <c r="N53" s="831"/>
      <c r="O53" s="831"/>
      <c r="P53" s="831"/>
      <c r="Q53" s="831"/>
      <c r="R53" s="831"/>
      <c r="S53" s="831"/>
      <c r="T53" s="831"/>
      <c r="U53" s="831"/>
      <c r="V53" s="831"/>
      <c r="W53" s="831"/>
      <c r="X53" s="831"/>
      <c r="Y53" s="831"/>
      <c r="AB53" s="834"/>
      <c r="AC53" s="840"/>
      <c r="AD53" s="831"/>
      <c r="AE53" s="840"/>
      <c r="AF53" s="840"/>
      <c r="AG53" s="840"/>
      <c r="AH53" s="840"/>
      <c r="AI53" s="840"/>
      <c r="AJ53" s="840"/>
      <c r="AK53" s="840"/>
      <c r="AL53" s="840"/>
      <c r="AM53" s="840"/>
      <c r="AN53" s="840"/>
      <c r="AO53" s="840"/>
    </row>
    <row r="54" spans="1:41">
      <c r="A54" s="842"/>
      <c r="B54" s="843"/>
      <c r="C54" s="811"/>
      <c r="D54" s="841"/>
      <c r="E54" s="841"/>
      <c r="F54" s="811"/>
      <c r="G54" s="811"/>
      <c r="H54" s="811"/>
      <c r="I54" s="811"/>
      <c r="J54" s="844"/>
      <c r="K54" s="844"/>
      <c r="L54" s="844"/>
      <c r="M54" s="845"/>
      <c r="N54" s="844"/>
      <c r="O54" s="844"/>
      <c r="P54" s="845"/>
      <c r="Q54" s="845"/>
      <c r="R54" s="844"/>
      <c r="S54" s="844"/>
      <c r="T54" s="845"/>
      <c r="U54" s="845"/>
      <c r="V54" s="845"/>
      <c r="W54" s="845"/>
      <c r="X54" s="845"/>
      <c r="Y54" s="845"/>
      <c r="AC54" s="846"/>
      <c r="AD54" s="847"/>
      <c r="AE54" s="846"/>
      <c r="AF54" s="846"/>
      <c r="AG54" s="846"/>
      <c r="AH54" s="848"/>
      <c r="AI54" s="848"/>
      <c r="AJ54" s="848"/>
      <c r="AK54" s="848"/>
      <c r="AL54" s="848"/>
      <c r="AM54" s="848"/>
      <c r="AN54" s="848"/>
      <c r="AO54" s="848"/>
    </row>
    <row r="55" spans="1:41">
      <c r="A55" s="842"/>
      <c r="B55" s="843"/>
    </row>
    <row r="56" spans="1:41">
      <c r="J56" s="849"/>
      <c r="K56" s="845"/>
      <c r="M56" s="849"/>
      <c r="N56" s="849"/>
      <c r="O56" s="849"/>
      <c r="P56" s="849"/>
      <c r="Q56" s="849"/>
      <c r="R56" s="849"/>
      <c r="S56" s="849"/>
      <c r="T56" s="849"/>
      <c r="U56" s="849"/>
      <c r="V56" s="849"/>
      <c r="W56" s="849"/>
      <c r="X56" s="849"/>
      <c r="Y56" s="849"/>
      <c r="AC56" s="846"/>
      <c r="AD56" s="847"/>
      <c r="AE56" s="846"/>
      <c r="AF56" s="846"/>
      <c r="AG56" s="846"/>
      <c r="AH56" s="848"/>
      <c r="AI56" s="848"/>
      <c r="AJ56" s="848"/>
      <c r="AK56" s="848"/>
      <c r="AL56" s="848"/>
      <c r="AM56" s="848"/>
      <c r="AN56" s="848"/>
      <c r="AO56" s="848"/>
    </row>
    <row r="57" spans="1:41">
      <c r="J57" s="849"/>
      <c r="K57" s="845"/>
      <c r="M57" s="849"/>
      <c r="N57" s="849"/>
      <c r="O57" s="849"/>
      <c r="P57" s="849"/>
      <c r="Q57" s="849"/>
      <c r="R57" s="849"/>
      <c r="S57" s="849"/>
      <c r="T57" s="849"/>
      <c r="U57" s="849"/>
      <c r="V57" s="849"/>
      <c r="W57" s="849"/>
      <c r="X57" s="849"/>
      <c r="Y57" s="849"/>
      <c r="AC57" s="846"/>
      <c r="AD57" s="847"/>
      <c r="AE57" s="846"/>
      <c r="AF57" s="846"/>
      <c r="AG57" s="846"/>
      <c r="AH57" s="848"/>
      <c r="AI57" s="848"/>
      <c r="AJ57" s="848"/>
      <c r="AK57" s="848"/>
      <c r="AL57" s="848"/>
      <c r="AM57" s="848"/>
      <c r="AN57" s="848"/>
      <c r="AO57" s="848"/>
    </row>
    <row r="58" spans="1:41">
      <c r="J58" s="831"/>
      <c r="K58" s="831"/>
      <c r="M58" s="849"/>
      <c r="N58" s="849"/>
      <c r="O58" s="849"/>
      <c r="P58" s="849"/>
      <c r="Q58" s="849"/>
      <c r="R58" s="849"/>
      <c r="S58" s="849"/>
      <c r="T58" s="849"/>
      <c r="U58" s="849"/>
      <c r="V58" s="849"/>
      <c r="W58" s="849"/>
      <c r="X58" s="849"/>
      <c r="Y58" s="849"/>
      <c r="AC58" s="846"/>
      <c r="AD58" s="847"/>
      <c r="AE58" s="846"/>
      <c r="AF58" s="846"/>
      <c r="AG58" s="846"/>
      <c r="AH58" s="848"/>
      <c r="AI58" s="848"/>
      <c r="AJ58" s="848"/>
      <c r="AK58" s="848"/>
      <c r="AL58" s="848"/>
      <c r="AM58" s="848"/>
      <c r="AN58" s="848"/>
      <c r="AO58" s="848"/>
    </row>
    <row r="63" spans="1:41">
      <c r="J63" s="845"/>
      <c r="K63" s="845"/>
      <c r="N63" s="845"/>
      <c r="O63" s="845"/>
    </row>
    <row r="64" spans="1:41">
      <c r="J64" s="850"/>
      <c r="K64" s="850"/>
    </row>
    <row r="65" spans="10:10">
      <c r="J65" s="845"/>
    </row>
    <row r="66" spans="10:10">
      <c r="J66" s="850"/>
    </row>
  </sheetData>
  <mergeCells count="17">
    <mergeCell ref="AK5:AK7"/>
    <mergeCell ref="AL5:AL7"/>
    <mergeCell ref="AM5:AM7"/>
    <mergeCell ref="AN5:AN7"/>
    <mergeCell ref="AO5:AO7"/>
    <mergeCell ref="AJ5:AJ7"/>
    <mergeCell ref="J5:M5"/>
    <mergeCell ref="N5:Q5"/>
    <mergeCell ref="R5:U5"/>
    <mergeCell ref="AB5:AB7"/>
    <mergeCell ref="AC5:AC7"/>
    <mergeCell ref="AD5:AD7"/>
    <mergeCell ref="AE5:AE7"/>
    <mergeCell ref="AF5:AF7"/>
    <mergeCell ref="AG5:AG7"/>
    <mergeCell ref="AH5:AH7"/>
    <mergeCell ref="AI5:AI7"/>
  </mergeCells>
  <printOptions horizontalCentered="1" headings="1" gridLines="1"/>
  <pageMargins left="0.25" right="0.25" top="0.75" bottom="0.25" header="0.25" footer="0.25"/>
  <pageSetup scale="61"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8AA76E-330E-4F9A-89CA-C0026FF0FFA6}">
  <sheetPr>
    <tabColor rgb="FF00B050"/>
    <pageSetUpPr fitToPage="1"/>
  </sheetPr>
  <dimension ref="A1:AA69"/>
  <sheetViews>
    <sheetView tabSelected="1" view="pageBreakPreview" zoomScale="75" zoomScaleNormal="100" zoomScaleSheetLayoutView="75" workbookViewId="0">
      <pane xSplit="10" ySplit="5" topLeftCell="P22" activePane="bottomRight" state="frozen"/>
      <selection activeCell="Y25" sqref="Y25"/>
      <selection pane="topRight" activeCell="Y25" sqref="Y25"/>
      <selection pane="bottomLeft" activeCell="Y25" sqref="Y25"/>
      <selection pane="bottomRight" activeCell="Y25" sqref="Y25"/>
    </sheetView>
  </sheetViews>
  <sheetFormatPr defaultColWidth="10.5625" defaultRowHeight="15.75"/>
  <cols>
    <col min="1" max="1" width="10.5625" style="201"/>
    <col min="2" max="2" width="40.5" style="15" customWidth="1"/>
    <col min="3" max="3" width="15.3125" style="89" hidden="1" customWidth="1"/>
    <col min="4" max="4" width="13" style="89" hidden="1" customWidth="1"/>
    <col min="5" max="5" width="14.25" style="89" hidden="1" customWidth="1"/>
    <col min="6" max="6" width="14.75" style="89" hidden="1" customWidth="1"/>
    <col min="7" max="7" width="10.3125" style="89" hidden="1" customWidth="1"/>
    <col min="8" max="8" width="10.0625" style="256" hidden="1" customWidth="1"/>
    <col min="9" max="9" width="13.75" style="89" hidden="1" customWidth="1"/>
    <col min="10" max="10" width="11.75" style="89" hidden="1" customWidth="1"/>
    <col min="11" max="11" width="13.5" style="89" hidden="1" customWidth="1"/>
    <col min="12" max="12" width="10.5" style="89" hidden="1" customWidth="1"/>
    <col min="13" max="13" width="10.5625" style="89" hidden="1" customWidth="1"/>
    <col min="14" max="14" width="11.5625" style="89" hidden="1" customWidth="1"/>
    <col min="15" max="15" width="52.3125" style="89" hidden="1" customWidth="1"/>
    <col min="16" max="16" width="11.5625" style="89" customWidth="1"/>
    <col min="17" max="17" width="20.8125" style="89" customWidth="1"/>
    <col min="18" max="18" width="18" style="89" customWidth="1"/>
    <col min="19" max="19" width="20.3125" style="89" customWidth="1"/>
    <col min="20" max="20" width="14.5" style="8" customWidth="1"/>
    <col min="21" max="22" width="19.8125" style="8" customWidth="1"/>
    <col min="23" max="23" width="18.75" style="89" customWidth="1"/>
    <col min="24" max="24" width="25.3125" style="8" customWidth="1"/>
    <col min="25" max="25" width="51.5625" style="184" customWidth="1"/>
    <col min="26" max="26" width="16.9375" style="257" customWidth="1"/>
    <col min="27" max="27" width="16" style="8" customWidth="1"/>
    <col min="28" max="16384" width="10.5625" style="8"/>
  </cols>
  <sheetData>
    <row r="1" spans="1:27" s="176" customFormat="1">
      <c r="A1" s="1" t="s">
        <v>0</v>
      </c>
      <c r="B1" s="15"/>
      <c r="C1" s="172"/>
      <c r="D1" s="172"/>
      <c r="E1" s="172"/>
      <c r="F1" s="172"/>
      <c r="G1" s="173"/>
      <c r="H1" s="174"/>
      <c r="I1" s="172"/>
      <c r="J1" s="172"/>
      <c r="K1" s="172"/>
      <c r="L1" s="175"/>
      <c r="M1" s="175"/>
      <c r="O1" s="177" t="s">
        <v>1</v>
      </c>
      <c r="Q1" s="178"/>
      <c r="R1" s="178"/>
      <c r="S1" s="178"/>
      <c r="W1" s="172"/>
      <c r="Y1" s="177" t="s">
        <v>1</v>
      </c>
      <c r="Z1" s="179"/>
    </row>
    <row r="2" spans="1:27" s="176" customFormat="1">
      <c r="A2" s="11" t="s">
        <v>1167</v>
      </c>
      <c r="B2" s="180"/>
      <c r="C2" s="181"/>
      <c r="D2" s="181"/>
      <c r="E2" s="181"/>
      <c r="F2" s="181"/>
      <c r="G2" s="173"/>
      <c r="H2" s="174"/>
      <c r="I2" s="181"/>
      <c r="J2" s="181"/>
      <c r="K2" s="181"/>
      <c r="L2" s="175"/>
      <c r="M2" s="175"/>
      <c r="Q2" s="178"/>
      <c r="R2" s="178"/>
      <c r="S2" s="178"/>
      <c r="W2" s="181"/>
      <c r="Z2" s="179"/>
    </row>
    <row r="3" spans="1:27" s="176" customFormat="1">
      <c r="A3" s="14" t="s">
        <v>140</v>
      </c>
      <c r="B3" s="182"/>
      <c r="C3" s="178"/>
      <c r="D3" s="178"/>
      <c r="E3" s="178"/>
      <c r="F3" s="178"/>
      <c r="G3" s="178"/>
      <c r="H3" s="183"/>
      <c r="I3" s="178"/>
      <c r="J3" s="178"/>
      <c r="K3" s="178"/>
      <c r="L3" s="178"/>
      <c r="M3" s="178"/>
      <c r="N3" s="178"/>
      <c r="O3" s="184"/>
      <c r="P3" s="178"/>
      <c r="Q3" s="178"/>
      <c r="R3" s="178"/>
      <c r="S3" s="178"/>
      <c r="W3" s="178"/>
      <c r="Y3" s="184"/>
      <c r="Z3" s="185"/>
    </row>
    <row r="4" spans="1:27" s="189" customFormat="1" ht="16.149999999999999" thickBot="1">
      <c r="A4" s="14"/>
      <c r="B4" s="186"/>
      <c r="C4" s="187"/>
      <c r="D4" s="187"/>
      <c r="E4" s="187"/>
      <c r="F4" s="187"/>
      <c r="G4" s="187"/>
      <c r="H4" s="188"/>
      <c r="I4" s="187"/>
      <c r="J4" s="187"/>
      <c r="K4" s="187"/>
      <c r="L4" s="187"/>
      <c r="M4" s="187"/>
      <c r="N4" s="187"/>
      <c r="O4" s="187"/>
      <c r="P4" s="187"/>
      <c r="Q4" s="89"/>
      <c r="R4" s="89"/>
      <c r="S4" s="89"/>
      <c r="W4" s="187"/>
      <c r="Y4" s="190"/>
      <c r="Z4" s="191"/>
    </row>
    <row r="5" spans="1:27" s="200" customFormat="1" ht="65.55" customHeight="1" thickBot="1">
      <c r="A5" s="25" t="s">
        <v>5</v>
      </c>
      <c r="B5" s="26" t="s">
        <v>6</v>
      </c>
      <c r="C5" s="27" t="s">
        <v>7</v>
      </c>
      <c r="D5" s="28" t="s">
        <v>8</v>
      </c>
      <c r="E5" s="29" t="s">
        <v>9</v>
      </c>
      <c r="F5" s="29" t="s">
        <v>10</v>
      </c>
      <c r="G5" s="192" t="s">
        <v>11</v>
      </c>
      <c r="H5" s="29" t="s">
        <v>12</v>
      </c>
      <c r="I5" s="31" t="s">
        <v>141</v>
      </c>
      <c r="J5" s="31" t="s">
        <v>142</v>
      </c>
      <c r="K5" s="31" t="s">
        <v>15</v>
      </c>
      <c r="L5" s="193" t="s">
        <v>143</v>
      </c>
      <c r="M5" s="193" t="s">
        <v>17</v>
      </c>
      <c r="N5" s="193" t="s">
        <v>144</v>
      </c>
      <c r="O5" s="193" t="s">
        <v>145</v>
      </c>
      <c r="P5" s="193" t="s">
        <v>20</v>
      </c>
      <c r="Q5" s="194" t="s">
        <v>146</v>
      </c>
      <c r="R5" s="194" t="s">
        <v>147</v>
      </c>
      <c r="S5" s="194" t="s">
        <v>23</v>
      </c>
      <c r="T5" s="195" t="s">
        <v>24</v>
      </c>
      <c r="U5" s="195" t="s">
        <v>25</v>
      </c>
      <c r="V5" s="195" t="s">
        <v>148</v>
      </c>
      <c r="W5" s="35" t="s">
        <v>27</v>
      </c>
      <c r="X5" s="196" t="s">
        <v>28</v>
      </c>
      <c r="Y5" s="197" t="s">
        <v>29</v>
      </c>
      <c r="Z5" s="198" t="s">
        <v>30</v>
      </c>
      <c r="AA5" s="199" t="s">
        <v>149</v>
      </c>
    </row>
    <row r="6" spans="1:27">
      <c r="C6" s="202"/>
      <c r="D6" s="202"/>
      <c r="E6" s="202"/>
      <c r="F6" s="202"/>
      <c r="G6" s="202"/>
      <c r="H6" s="203"/>
      <c r="I6" s="202"/>
      <c r="J6" s="202"/>
      <c r="K6" s="202"/>
      <c r="L6" s="204"/>
      <c r="M6" s="204"/>
      <c r="N6" s="204"/>
      <c r="O6" s="204"/>
      <c r="P6" s="204"/>
      <c r="Q6" s="205"/>
      <c r="R6" s="205"/>
      <c r="S6" s="205"/>
      <c r="T6" s="206"/>
      <c r="U6" s="206"/>
      <c r="V6" s="206"/>
      <c r="W6" s="202"/>
      <c r="X6" s="206"/>
      <c r="Y6" s="207"/>
      <c r="Z6" s="208"/>
      <c r="AA6" s="209"/>
    </row>
    <row r="7" spans="1:27">
      <c r="A7" s="201">
        <v>35</v>
      </c>
      <c r="B7" s="210" t="s">
        <v>150</v>
      </c>
      <c r="C7" s="202">
        <v>3000000</v>
      </c>
      <c r="D7" s="202">
        <v>0</v>
      </c>
      <c r="E7" s="202"/>
      <c r="F7" s="202"/>
      <c r="G7" s="202"/>
      <c r="H7" s="203"/>
      <c r="I7" s="202"/>
      <c r="J7" s="202"/>
      <c r="K7" s="202"/>
      <c r="L7" s="204"/>
      <c r="M7" s="204"/>
      <c r="N7" s="204"/>
      <c r="O7" s="204"/>
      <c r="P7" s="204"/>
      <c r="Q7" s="205"/>
      <c r="R7" s="205"/>
      <c r="S7" s="205"/>
      <c r="T7" s="206"/>
      <c r="U7" s="206"/>
      <c r="V7" s="206"/>
      <c r="W7" s="202"/>
      <c r="X7" s="206"/>
      <c r="Y7" s="207"/>
      <c r="Z7" s="208"/>
      <c r="AA7" s="209"/>
    </row>
    <row r="8" spans="1:27" ht="34.5" customHeight="1">
      <c r="A8" s="201">
        <f>A7+1</f>
        <v>36</v>
      </c>
      <c r="B8" s="211" t="s">
        <v>151</v>
      </c>
      <c r="C8" s="202"/>
      <c r="D8" s="202">
        <v>2500000</v>
      </c>
      <c r="E8" s="202">
        <v>964003</v>
      </c>
      <c r="F8" s="202">
        <v>833333</v>
      </c>
      <c r="G8" s="203">
        <f>F8</f>
        <v>833333</v>
      </c>
      <c r="H8" s="203" t="s">
        <v>152</v>
      </c>
      <c r="I8" s="202"/>
      <c r="J8" s="202">
        <f>833334-130670</f>
        <v>702664</v>
      </c>
      <c r="K8" s="202">
        <f>J8</f>
        <v>702664</v>
      </c>
      <c r="L8" s="204">
        <v>0</v>
      </c>
      <c r="M8" s="204">
        <v>666000</v>
      </c>
      <c r="N8" s="204">
        <f>L8+M8</f>
        <v>666000</v>
      </c>
      <c r="O8" s="212"/>
      <c r="P8" s="204">
        <f>N8</f>
        <v>666000</v>
      </c>
      <c r="Q8" s="213">
        <f>583000-70000</f>
        <v>513000</v>
      </c>
      <c r="R8" s="213"/>
      <c r="S8" s="213">
        <f>583000-70000</f>
        <v>513000</v>
      </c>
      <c r="T8" s="66">
        <f>R8+S8</f>
        <v>513000</v>
      </c>
      <c r="U8" s="66">
        <f>Q8+T8</f>
        <v>1026000</v>
      </c>
      <c r="V8" s="66">
        <f>U8+P8</f>
        <v>1692000</v>
      </c>
      <c r="W8" s="202">
        <f>E8+G8+K8</f>
        <v>2500000</v>
      </c>
      <c r="X8" s="66"/>
      <c r="Y8" s="214" t="s">
        <v>153</v>
      </c>
      <c r="Z8" s="208">
        <v>1171000</v>
      </c>
      <c r="AA8" s="68">
        <v>2500000</v>
      </c>
    </row>
    <row r="9" spans="1:27" ht="53.25" customHeight="1">
      <c r="A9" s="201">
        <f t="shared" ref="A9:A31" si="0">A8+1</f>
        <v>37</v>
      </c>
      <c r="B9" s="215" t="s">
        <v>154</v>
      </c>
      <c r="C9" s="202"/>
      <c r="D9" s="202">
        <v>500000</v>
      </c>
      <c r="E9" s="202">
        <v>130392</v>
      </c>
      <c r="F9" s="202">
        <v>166667</v>
      </c>
      <c r="G9" s="203">
        <f>F9</f>
        <v>166667</v>
      </c>
      <c r="H9" s="203" t="s">
        <v>155</v>
      </c>
      <c r="I9" s="202"/>
      <c r="J9" s="202">
        <f>166666+36275</f>
        <v>202941</v>
      </c>
      <c r="K9" s="202">
        <f>J9</f>
        <v>202941</v>
      </c>
      <c r="L9" s="204">
        <v>0</v>
      </c>
      <c r="M9" s="204">
        <v>334000</v>
      </c>
      <c r="N9" s="204">
        <f>L9+M9</f>
        <v>334000</v>
      </c>
      <c r="O9" s="212"/>
      <c r="P9" s="204">
        <f>N9</f>
        <v>334000</v>
      </c>
      <c r="Q9" s="213">
        <f>300000-79500</f>
        <v>220500</v>
      </c>
      <c r="R9" s="213">
        <v>0</v>
      </c>
      <c r="S9" s="213">
        <f>300000-79500</f>
        <v>220500</v>
      </c>
      <c r="T9" s="66">
        <f t="shared" ref="T9:T32" si="1">R9+S9</f>
        <v>220500</v>
      </c>
      <c r="U9" s="66">
        <f t="shared" ref="U9:U32" si="2">Q9+T9</f>
        <v>441000</v>
      </c>
      <c r="V9" s="66">
        <f t="shared" ref="V9:V32" si="3">U9+P9</f>
        <v>775000</v>
      </c>
      <c r="W9" s="202">
        <f>E9+G9+K9</f>
        <v>500000</v>
      </c>
      <c r="X9" s="66"/>
      <c r="Y9" s="216" t="s">
        <v>156</v>
      </c>
      <c r="Z9" s="208">
        <v>600000</v>
      </c>
      <c r="AA9" s="68">
        <v>500000</v>
      </c>
    </row>
    <row r="10" spans="1:27" s="226" customFormat="1" ht="22.5" customHeight="1">
      <c r="A10" s="217">
        <f>A9+1</f>
        <v>38</v>
      </c>
      <c r="B10" s="218" t="s">
        <v>150</v>
      </c>
      <c r="C10" s="219">
        <f>SUM(C7)</f>
        <v>3000000</v>
      </c>
      <c r="D10" s="219">
        <f t="shared" ref="D10:H10" si="4">SUM(D7:D9)</f>
        <v>3000000</v>
      </c>
      <c r="E10" s="219">
        <f t="shared" si="4"/>
        <v>1094395</v>
      </c>
      <c r="F10" s="219">
        <f t="shared" si="4"/>
        <v>1000000</v>
      </c>
      <c r="G10" s="219">
        <f t="shared" si="4"/>
        <v>1000000</v>
      </c>
      <c r="H10" s="219">
        <f t="shared" si="4"/>
        <v>0</v>
      </c>
      <c r="I10" s="219">
        <f t="shared" ref="I10" si="5">SUM(I8:I9)</f>
        <v>0</v>
      </c>
      <c r="J10" s="219">
        <f>SUM(J8:J9)</f>
        <v>905605</v>
      </c>
      <c r="K10" s="219">
        <f>SUM(K8:K9)</f>
        <v>905605</v>
      </c>
      <c r="L10" s="220">
        <f t="shared" ref="L10:N10" si="6">SUM(L8:L9)</f>
        <v>0</v>
      </c>
      <c r="M10" s="220">
        <f t="shared" si="6"/>
        <v>1000000</v>
      </c>
      <c r="N10" s="220">
        <f t="shared" si="6"/>
        <v>1000000</v>
      </c>
      <c r="O10" s="221"/>
      <c r="P10" s="220">
        <f>N10</f>
        <v>1000000</v>
      </c>
      <c r="Q10" s="222">
        <f t="shared" ref="Q10:R10" si="7">SUM(Q8:Q9)</f>
        <v>733500</v>
      </c>
      <c r="R10" s="222">
        <f t="shared" si="7"/>
        <v>0</v>
      </c>
      <c r="S10" s="222">
        <f>SUM(S8:S9)</f>
        <v>733500</v>
      </c>
      <c r="T10" s="222">
        <f t="shared" si="1"/>
        <v>733500</v>
      </c>
      <c r="U10" s="222">
        <f t="shared" si="2"/>
        <v>1467000</v>
      </c>
      <c r="V10" s="222">
        <f t="shared" si="3"/>
        <v>2467000</v>
      </c>
      <c r="W10" s="219">
        <f>E10+G10+J10</f>
        <v>3000000</v>
      </c>
      <c r="X10" s="222"/>
      <c r="Y10" s="223"/>
      <c r="Z10" s="224">
        <v>1771000</v>
      </c>
      <c r="AA10" s="225">
        <v>3000000</v>
      </c>
    </row>
    <row r="11" spans="1:27">
      <c r="A11" s="201">
        <f t="shared" si="0"/>
        <v>39</v>
      </c>
      <c r="C11" s="202"/>
      <c r="D11" s="202"/>
      <c r="E11" s="202"/>
      <c r="F11" s="202"/>
      <c r="G11" s="202"/>
      <c r="H11" s="203"/>
      <c r="I11" s="202"/>
      <c r="J11" s="202"/>
      <c r="K11" s="202"/>
      <c r="L11" s="204"/>
      <c r="M11" s="204"/>
      <c r="N11" s="204"/>
      <c r="O11" s="204"/>
      <c r="P11" s="204"/>
      <c r="Q11" s="205"/>
      <c r="R11" s="205"/>
      <c r="S11" s="205"/>
      <c r="T11" s="206">
        <f t="shared" si="1"/>
        <v>0</v>
      </c>
      <c r="U11" s="206">
        <f t="shared" si="2"/>
        <v>0</v>
      </c>
      <c r="V11" s="206">
        <f t="shared" si="3"/>
        <v>0</v>
      </c>
      <c r="W11" s="202">
        <f t="shared" ref="W11:W31" si="8">E11+G11+K11</f>
        <v>0</v>
      </c>
      <c r="X11" s="206"/>
      <c r="Y11" s="207"/>
      <c r="Z11" s="208"/>
      <c r="AA11" s="209"/>
    </row>
    <row r="12" spans="1:27">
      <c r="A12" s="201">
        <f t="shared" si="0"/>
        <v>40</v>
      </c>
      <c r="B12" s="210" t="s">
        <v>157</v>
      </c>
      <c r="C12" s="227">
        <v>2823225.8343540002</v>
      </c>
      <c r="D12" s="227"/>
      <c r="E12" s="227"/>
      <c r="F12" s="227"/>
      <c r="G12" s="227"/>
      <c r="H12" s="228"/>
      <c r="I12" s="227"/>
      <c r="J12" s="227"/>
      <c r="K12" s="227"/>
      <c r="L12" s="229"/>
      <c r="M12" s="229"/>
      <c r="N12" s="229"/>
      <c r="O12" s="230"/>
      <c r="P12" s="229"/>
      <c r="Q12" s="205"/>
      <c r="R12" s="205"/>
      <c r="S12" s="205"/>
      <c r="T12" s="206">
        <f t="shared" si="1"/>
        <v>0</v>
      </c>
      <c r="U12" s="206">
        <f t="shared" si="2"/>
        <v>0</v>
      </c>
      <c r="V12" s="206">
        <f t="shared" si="3"/>
        <v>0</v>
      </c>
      <c r="W12" s="202">
        <f t="shared" si="8"/>
        <v>0</v>
      </c>
      <c r="X12" s="206"/>
      <c r="Y12" s="207"/>
      <c r="Z12" s="231"/>
      <c r="AA12" s="209"/>
    </row>
    <row r="13" spans="1:27">
      <c r="A13" s="201">
        <f t="shared" si="0"/>
        <v>41</v>
      </c>
      <c r="B13" s="15" t="s">
        <v>158</v>
      </c>
      <c r="C13" s="227"/>
      <c r="D13" s="227"/>
      <c r="E13" s="227"/>
      <c r="F13" s="227"/>
      <c r="G13" s="227"/>
      <c r="H13" s="228"/>
      <c r="I13" s="227"/>
      <c r="J13" s="227"/>
      <c r="K13" s="227"/>
      <c r="L13" s="229"/>
      <c r="M13" s="229"/>
      <c r="N13" s="229"/>
      <c r="O13" s="229"/>
      <c r="P13" s="229"/>
      <c r="Q13" s="205"/>
      <c r="R13" s="205"/>
      <c r="S13" s="205"/>
      <c r="T13" s="66">
        <f t="shared" si="1"/>
        <v>0</v>
      </c>
      <c r="U13" s="66">
        <f t="shared" si="2"/>
        <v>0</v>
      </c>
      <c r="V13" s="66">
        <f t="shared" si="3"/>
        <v>0</v>
      </c>
      <c r="W13" s="202">
        <f t="shared" si="8"/>
        <v>0</v>
      </c>
      <c r="X13" s="66"/>
      <c r="Y13" s="207"/>
      <c r="Z13" s="231">
        <v>0</v>
      </c>
      <c r="AA13" s="68"/>
    </row>
    <row r="14" spans="1:27" ht="31.5">
      <c r="A14" s="201">
        <f t="shared" si="0"/>
        <v>42</v>
      </c>
      <c r="B14" s="232" t="s">
        <v>159</v>
      </c>
      <c r="C14" s="227"/>
      <c r="D14" s="227">
        <v>200000</v>
      </c>
      <c r="E14" s="227"/>
      <c r="F14" s="227">
        <v>66667</v>
      </c>
      <c r="G14" s="227">
        <f>F14</f>
        <v>66667</v>
      </c>
      <c r="H14" s="228"/>
      <c r="I14" s="227">
        <v>6000</v>
      </c>
      <c r="J14" s="227">
        <v>60666</v>
      </c>
      <c r="K14" s="227">
        <f>J14</f>
        <v>60666</v>
      </c>
      <c r="L14" s="229">
        <v>6000</v>
      </c>
      <c r="M14" s="229">
        <v>40000</v>
      </c>
      <c r="N14" s="229">
        <f t="shared" ref="N14:N31" si="9">L14+M14</f>
        <v>46000</v>
      </c>
      <c r="O14" s="230"/>
      <c r="P14" s="229">
        <f t="shared" ref="P14:P29" si="10">N14</f>
        <v>46000</v>
      </c>
      <c r="Q14" s="233">
        <v>59000</v>
      </c>
      <c r="R14" s="233">
        <v>2000</v>
      </c>
      <c r="S14" s="233">
        <v>59000</v>
      </c>
      <c r="T14" s="66">
        <f t="shared" si="1"/>
        <v>61000</v>
      </c>
      <c r="U14" s="66">
        <f t="shared" si="2"/>
        <v>120000</v>
      </c>
      <c r="V14" s="66">
        <f t="shared" si="3"/>
        <v>166000</v>
      </c>
      <c r="W14" s="202">
        <f t="shared" si="8"/>
        <v>127333</v>
      </c>
      <c r="X14" s="66"/>
      <c r="Y14" s="207" t="s">
        <v>160</v>
      </c>
      <c r="Z14" s="231">
        <v>120000</v>
      </c>
      <c r="AA14" s="68">
        <v>200000</v>
      </c>
    </row>
    <row r="15" spans="1:27" ht="31.5">
      <c r="A15" s="201">
        <f t="shared" si="0"/>
        <v>43</v>
      </c>
      <c r="B15" s="232" t="s">
        <v>161</v>
      </c>
      <c r="C15" s="227"/>
      <c r="D15" s="227">
        <v>160000</v>
      </c>
      <c r="E15" s="227"/>
      <c r="F15" s="227">
        <v>53333</v>
      </c>
      <c r="G15" s="227">
        <v>34666</v>
      </c>
      <c r="H15" s="228"/>
      <c r="I15" s="227">
        <v>10000</v>
      </c>
      <c r="J15" s="227">
        <v>38334</v>
      </c>
      <c r="K15" s="227">
        <f>J15</f>
        <v>38334</v>
      </c>
      <c r="L15" s="229">
        <v>10000</v>
      </c>
      <c r="M15" s="229">
        <v>45000</v>
      </c>
      <c r="N15" s="229">
        <f t="shared" si="9"/>
        <v>55000</v>
      </c>
      <c r="O15" s="64" t="s">
        <v>162</v>
      </c>
      <c r="P15" s="229">
        <f t="shared" si="10"/>
        <v>55000</v>
      </c>
      <c r="Q15" s="233">
        <v>37000</v>
      </c>
      <c r="R15" s="233"/>
      <c r="S15" s="233">
        <v>37000</v>
      </c>
      <c r="T15" s="66">
        <f t="shared" si="1"/>
        <v>37000</v>
      </c>
      <c r="U15" s="66">
        <f t="shared" si="2"/>
        <v>74000</v>
      </c>
      <c r="V15" s="66">
        <f t="shared" si="3"/>
        <v>129000</v>
      </c>
      <c r="W15" s="202">
        <f t="shared" si="8"/>
        <v>73000</v>
      </c>
      <c r="X15" s="66"/>
      <c r="Y15" s="207" t="s">
        <v>162</v>
      </c>
      <c r="Z15" s="231">
        <v>81000</v>
      </c>
      <c r="AA15" s="68">
        <v>160000</v>
      </c>
    </row>
    <row r="16" spans="1:27">
      <c r="A16" s="201" t="s">
        <v>163</v>
      </c>
      <c r="B16" s="15" t="s">
        <v>164</v>
      </c>
      <c r="C16" s="227"/>
      <c r="D16" s="227">
        <v>0</v>
      </c>
      <c r="E16" s="227"/>
      <c r="F16" s="227"/>
      <c r="G16" s="227"/>
      <c r="H16" s="228"/>
      <c r="I16" s="227"/>
      <c r="J16" s="227"/>
      <c r="K16" s="227"/>
      <c r="L16" s="229"/>
      <c r="M16" s="229"/>
      <c r="N16" s="229">
        <f t="shared" si="9"/>
        <v>0</v>
      </c>
      <c r="O16" s="64"/>
      <c r="P16" s="229">
        <f t="shared" si="10"/>
        <v>0</v>
      </c>
      <c r="Q16" s="205"/>
      <c r="R16" s="205"/>
      <c r="S16" s="205"/>
      <c r="T16" s="66">
        <f t="shared" si="1"/>
        <v>0</v>
      </c>
      <c r="U16" s="66">
        <f t="shared" si="2"/>
        <v>0</v>
      </c>
      <c r="V16" s="66">
        <f t="shared" si="3"/>
        <v>0</v>
      </c>
      <c r="W16" s="202">
        <f t="shared" si="8"/>
        <v>0</v>
      </c>
      <c r="X16" s="66"/>
      <c r="Y16" s="207"/>
      <c r="Z16" s="231">
        <v>0</v>
      </c>
      <c r="AA16" s="68"/>
    </row>
    <row r="17" spans="1:27" ht="35.25" customHeight="1">
      <c r="A17" s="201">
        <v>52</v>
      </c>
      <c r="B17" s="232" t="s">
        <v>165</v>
      </c>
      <c r="C17" s="227"/>
      <c r="D17" s="227">
        <v>30000</v>
      </c>
      <c r="E17" s="227"/>
      <c r="F17" s="202">
        <v>17000</v>
      </c>
      <c r="G17" s="202">
        <v>17000</v>
      </c>
      <c r="H17" s="203" t="s">
        <v>166</v>
      </c>
      <c r="I17" s="202"/>
      <c r="J17" s="202">
        <v>10000</v>
      </c>
      <c r="K17" s="227">
        <f t="shared" ref="K17:K27" si="11">J17</f>
        <v>10000</v>
      </c>
      <c r="L17" s="204"/>
      <c r="M17" s="204">
        <v>25000</v>
      </c>
      <c r="N17" s="204">
        <f t="shared" si="9"/>
        <v>25000</v>
      </c>
      <c r="O17" s="64" t="s">
        <v>167</v>
      </c>
      <c r="P17" s="204">
        <f t="shared" si="10"/>
        <v>25000</v>
      </c>
      <c r="Q17" s="233">
        <v>22000</v>
      </c>
      <c r="R17" s="233">
        <v>5000</v>
      </c>
      <c r="S17" s="233">
        <v>23000</v>
      </c>
      <c r="T17" s="66">
        <f t="shared" si="1"/>
        <v>28000</v>
      </c>
      <c r="U17" s="66">
        <f t="shared" si="2"/>
        <v>50000</v>
      </c>
      <c r="V17" s="66">
        <f t="shared" si="3"/>
        <v>75000</v>
      </c>
      <c r="W17" s="202">
        <f t="shared" si="8"/>
        <v>27000</v>
      </c>
      <c r="X17" s="66"/>
      <c r="Y17" s="234" t="s">
        <v>168</v>
      </c>
      <c r="Z17" s="208">
        <v>50000</v>
      </c>
      <c r="AA17" s="68">
        <v>30000</v>
      </c>
    </row>
    <row r="18" spans="1:27" ht="37.049999999999997" customHeight="1">
      <c r="A18" s="201">
        <v>53</v>
      </c>
      <c r="B18" s="232" t="s">
        <v>169</v>
      </c>
      <c r="C18" s="227"/>
      <c r="D18" s="227">
        <v>20000</v>
      </c>
      <c r="E18" s="227"/>
      <c r="F18" s="202">
        <v>5000</v>
      </c>
      <c r="G18" s="202">
        <v>5000</v>
      </c>
      <c r="H18" s="203" t="s">
        <v>170</v>
      </c>
      <c r="I18" s="202">
        <v>5000</v>
      </c>
      <c r="J18" s="202">
        <v>5000</v>
      </c>
      <c r="K18" s="227">
        <f t="shared" si="11"/>
        <v>5000</v>
      </c>
      <c r="L18" s="204">
        <v>5000</v>
      </c>
      <c r="M18" s="204">
        <v>20000</v>
      </c>
      <c r="N18" s="204">
        <f t="shared" si="9"/>
        <v>25000</v>
      </c>
      <c r="O18" s="64" t="s">
        <v>171</v>
      </c>
      <c r="P18" s="204">
        <f t="shared" si="10"/>
        <v>25000</v>
      </c>
      <c r="Q18" s="233">
        <v>25000</v>
      </c>
      <c r="R18" s="233">
        <v>0</v>
      </c>
      <c r="S18" s="233">
        <v>25000</v>
      </c>
      <c r="T18" s="66">
        <f t="shared" si="1"/>
        <v>25000</v>
      </c>
      <c r="U18" s="66">
        <f t="shared" si="2"/>
        <v>50000</v>
      </c>
      <c r="V18" s="66">
        <f t="shared" si="3"/>
        <v>75000</v>
      </c>
      <c r="W18" s="202">
        <f t="shared" si="8"/>
        <v>10000</v>
      </c>
      <c r="X18" s="66"/>
      <c r="Y18" s="207" t="s">
        <v>171</v>
      </c>
      <c r="Z18" s="208">
        <v>50000</v>
      </c>
      <c r="AA18" s="68">
        <v>20000</v>
      </c>
    </row>
    <row r="19" spans="1:27" ht="32.25" customHeight="1">
      <c r="A19" s="201">
        <f t="shared" si="0"/>
        <v>54</v>
      </c>
      <c r="B19" s="232" t="s">
        <v>172</v>
      </c>
      <c r="C19" s="227"/>
      <c r="D19" s="227">
        <v>135000</v>
      </c>
      <c r="E19" s="227"/>
      <c r="F19" s="202">
        <v>75000</v>
      </c>
      <c r="G19" s="202">
        <v>40000</v>
      </c>
      <c r="H19" s="203" t="s">
        <v>173</v>
      </c>
      <c r="I19" s="202">
        <v>5000</v>
      </c>
      <c r="J19" s="202">
        <v>65000</v>
      </c>
      <c r="K19" s="227">
        <f t="shared" si="11"/>
        <v>65000</v>
      </c>
      <c r="L19" s="204">
        <v>5000</v>
      </c>
      <c r="M19" s="204">
        <v>40000</v>
      </c>
      <c r="N19" s="204">
        <f t="shared" si="9"/>
        <v>45000</v>
      </c>
      <c r="O19" s="64" t="s">
        <v>174</v>
      </c>
      <c r="P19" s="204">
        <f t="shared" si="10"/>
        <v>45000</v>
      </c>
      <c r="Q19" s="205">
        <v>45000</v>
      </c>
      <c r="R19" s="205">
        <v>30000</v>
      </c>
      <c r="S19" s="205">
        <v>45000</v>
      </c>
      <c r="T19" s="66">
        <f t="shared" si="1"/>
        <v>75000</v>
      </c>
      <c r="U19" s="66">
        <f t="shared" si="2"/>
        <v>120000</v>
      </c>
      <c r="V19" s="66">
        <f t="shared" si="3"/>
        <v>165000</v>
      </c>
      <c r="W19" s="202">
        <f t="shared" si="8"/>
        <v>105000</v>
      </c>
      <c r="X19" s="66"/>
      <c r="Y19" s="207" t="s">
        <v>175</v>
      </c>
      <c r="Z19" s="208">
        <v>120000</v>
      </c>
      <c r="AA19" s="68">
        <v>135000</v>
      </c>
    </row>
    <row r="20" spans="1:27" ht="31.5" customHeight="1">
      <c r="A20" s="201">
        <f t="shared" si="0"/>
        <v>55</v>
      </c>
      <c r="B20" s="15" t="s">
        <v>176</v>
      </c>
      <c r="C20" s="227"/>
      <c r="D20" s="227">
        <v>120000</v>
      </c>
      <c r="E20" s="227"/>
      <c r="F20" s="227">
        <v>45000</v>
      </c>
      <c r="G20" s="227">
        <v>29000</v>
      </c>
      <c r="H20" s="228" t="s">
        <v>177</v>
      </c>
      <c r="I20" s="227">
        <v>10000</v>
      </c>
      <c r="J20" s="227">
        <v>30000</v>
      </c>
      <c r="K20" s="227">
        <f t="shared" si="11"/>
        <v>30000</v>
      </c>
      <c r="L20" s="229">
        <v>10000</v>
      </c>
      <c r="M20" s="204">
        <v>40000</v>
      </c>
      <c r="N20" s="204">
        <f t="shared" si="9"/>
        <v>50000</v>
      </c>
      <c r="O20" s="64" t="s">
        <v>178</v>
      </c>
      <c r="P20" s="204">
        <f t="shared" si="10"/>
        <v>50000</v>
      </c>
      <c r="Q20" s="213">
        <v>32000</v>
      </c>
      <c r="R20" s="213">
        <v>0</v>
      </c>
      <c r="S20" s="213">
        <v>32000</v>
      </c>
      <c r="T20" s="66">
        <f t="shared" si="1"/>
        <v>32000</v>
      </c>
      <c r="U20" s="66">
        <f t="shared" si="2"/>
        <v>64000</v>
      </c>
      <c r="V20" s="66">
        <f t="shared" si="3"/>
        <v>114000</v>
      </c>
      <c r="W20" s="202">
        <f t="shared" si="8"/>
        <v>59000</v>
      </c>
      <c r="X20" s="66"/>
      <c r="Y20" s="207" t="s">
        <v>179</v>
      </c>
      <c r="Z20" s="208">
        <v>97000</v>
      </c>
      <c r="AA20" s="68">
        <v>120000</v>
      </c>
    </row>
    <row r="21" spans="1:27" ht="39" customHeight="1">
      <c r="A21" s="201">
        <f t="shared" si="0"/>
        <v>56</v>
      </c>
      <c r="B21" s="15" t="s">
        <v>180</v>
      </c>
      <c r="C21" s="227"/>
      <c r="D21" s="202">
        <v>100000</v>
      </c>
      <c r="E21" s="227"/>
      <c r="F21" s="202">
        <v>50000</v>
      </c>
      <c r="G21" s="202">
        <v>66666</v>
      </c>
      <c r="H21" s="203" t="s">
        <v>181</v>
      </c>
      <c r="I21" s="202"/>
      <c r="J21" s="202">
        <v>25000</v>
      </c>
      <c r="K21" s="227">
        <f t="shared" si="11"/>
        <v>25000</v>
      </c>
      <c r="L21" s="204"/>
      <c r="M21" s="204">
        <v>125000</v>
      </c>
      <c r="N21" s="204">
        <f t="shared" si="9"/>
        <v>125000</v>
      </c>
      <c r="O21" s="64" t="s">
        <v>182</v>
      </c>
      <c r="P21" s="204">
        <f t="shared" si="10"/>
        <v>125000</v>
      </c>
      <c r="Q21" s="235">
        <v>125000</v>
      </c>
      <c r="R21" s="233"/>
      <c r="S21" s="235">
        <v>125000</v>
      </c>
      <c r="T21" s="66">
        <f t="shared" si="1"/>
        <v>125000</v>
      </c>
      <c r="U21" s="66">
        <f t="shared" si="2"/>
        <v>250000</v>
      </c>
      <c r="V21" s="66">
        <f t="shared" si="3"/>
        <v>375000</v>
      </c>
      <c r="W21" s="202">
        <f t="shared" si="8"/>
        <v>91666</v>
      </c>
      <c r="X21" s="66"/>
      <c r="Y21" s="207" t="s">
        <v>183</v>
      </c>
      <c r="Z21" s="208">
        <v>200000</v>
      </c>
      <c r="AA21" s="68">
        <v>100000</v>
      </c>
    </row>
    <row r="22" spans="1:27" ht="31.5">
      <c r="A22" s="201">
        <f>A21+1</f>
        <v>57</v>
      </c>
      <c r="B22" s="232" t="s">
        <v>184</v>
      </c>
      <c r="C22" s="227"/>
      <c r="D22" s="202">
        <v>0</v>
      </c>
      <c r="E22" s="227"/>
      <c r="F22" s="227"/>
      <c r="G22" s="227"/>
      <c r="H22" s="228"/>
      <c r="I22" s="202"/>
      <c r="J22" s="202"/>
      <c r="K22" s="227">
        <f t="shared" si="11"/>
        <v>0</v>
      </c>
      <c r="L22" s="204"/>
      <c r="M22" s="204">
        <v>102500</v>
      </c>
      <c r="N22" s="204">
        <f t="shared" si="9"/>
        <v>102500</v>
      </c>
      <c r="O22" s="64" t="s">
        <v>185</v>
      </c>
      <c r="P22" s="204">
        <f t="shared" si="10"/>
        <v>102500</v>
      </c>
      <c r="Q22" s="233">
        <v>65000</v>
      </c>
      <c r="R22" s="233"/>
      <c r="S22" s="233">
        <v>65000</v>
      </c>
      <c r="T22" s="66">
        <f t="shared" si="1"/>
        <v>65000</v>
      </c>
      <c r="U22" s="66">
        <f t="shared" si="2"/>
        <v>130000</v>
      </c>
      <c r="V22" s="66">
        <f t="shared" si="3"/>
        <v>232500</v>
      </c>
      <c r="W22" s="202">
        <f t="shared" si="8"/>
        <v>0</v>
      </c>
      <c r="X22" s="66"/>
      <c r="Y22" s="207" t="s">
        <v>186</v>
      </c>
      <c r="Z22" s="208">
        <v>130000</v>
      </c>
      <c r="AA22" s="68">
        <v>0</v>
      </c>
    </row>
    <row r="23" spans="1:27">
      <c r="A23" s="201" t="s">
        <v>187</v>
      </c>
      <c r="B23" s="15" t="s">
        <v>188</v>
      </c>
      <c r="C23" s="227"/>
      <c r="D23" s="202"/>
      <c r="E23" s="227"/>
      <c r="F23" s="227"/>
      <c r="G23" s="227"/>
      <c r="H23" s="228"/>
      <c r="I23" s="202"/>
      <c r="J23" s="202"/>
      <c r="K23" s="227">
        <f t="shared" si="11"/>
        <v>0</v>
      </c>
      <c r="L23" s="204"/>
      <c r="M23" s="204"/>
      <c r="N23" s="204">
        <f t="shared" si="9"/>
        <v>0</v>
      </c>
      <c r="O23" s="64"/>
      <c r="P23" s="204">
        <f t="shared" si="10"/>
        <v>0</v>
      </c>
      <c r="Q23" s="205"/>
      <c r="R23" s="205"/>
      <c r="S23" s="205"/>
      <c r="T23" s="66">
        <f t="shared" si="1"/>
        <v>0</v>
      </c>
      <c r="U23" s="66">
        <f t="shared" si="2"/>
        <v>0</v>
      </c>
      <c r="V23" s="66">
        <f t="shared" si="3"/>
        <v>0</v>
      </c>
      <c r="W23" s="202">
        <f t="shared" si="8"/>
        <v>0</v>
      </c>
      <c r="X23" s="66"/>
      <c r="Y23" s="207"/>
      <c r="Z23" s="208">
        <v>0</v>
      </c>
      <c r="AA23" s="68">
        <v>0</v>
      </c>
    </row>
    <row r="24" spans="1:27">
      <c r="A24" s="201">
        <f>A22+1</f>
        <v>58</v>
      </c>
      <c r="B24" s="15" t="s">
        <v>164</v>
      </c>
      <c r="C24" s="227"/>
      <c r="D24" s="202">
        <v>0</v>
      </c>
      <c r="E24" s="227"/>
      <c r="F24" s="202"/>
      <c r="G24" s="202"/>
      <c r="H24" s="203"/>
      <c r="I24" s="202"/>
      <c r="J24" s="202"/>
      <c r="K24" s="227">
        <f t="shared" si="11"/>
        <v>0</v>
      </c>
      <c r="L24" s="204"/>
      <c r="M24" s="204"/>
      <c r="N24" s="204">
        <f t="shared" si="9"/>
        <v>0</v>
      </c>
      <c r="O24" s="64"/>
      <c r="P24" s="204">
        <f t="shared" si="10"/>
        <v>0</v>
      </c>
      <c r="Q24" s="205"/>
      <c r="R24" s="205"/>
      <c r="S24" s="205"/>
      <c r="T24" s="66">
        <f t="shared" si="1"/>
        <v>0</v>
      </c>
      <c r="U24" s="66">
        <f t="shared" si="2"/>
        <v>0</v>
      </c>
      <c r="V24" s="66">
        <f t="shared" si="3"/>
        <v>0</v>
      </c>
      <c r="W24" s="202">
        <f t="shared" si="8"/>
        <v>0</v>
      </c>
      <c r="X24" s="66"/>
      <c r="Y24" s="207"/>
      <c r="Z24" s="208">
        <v>0</v>
      </c>
      <c r="AA24" s="68">
        <v>0</v>
      </c>
    </row>
    <row r="25" spans="1:27" s="242" customFormat="1">
      <c r="A25" s="236">
        <f t="shared" si="0"/>
        <v>59</v>
      </c>
      <c r="B25" s="237" t="s">
        <v>164</v>
      </c>
      <c r="C25" s="238">
        <v>0</v>
      </c>
      <c r="D25" s="238">
        <v>0</v>
      </c>
      <c r="E25" s="62"/>
      <c r="F25" s="62"/>
      <c r="G25" s="62"/>
      <c r="H25" s="63"/>
      <c r="I25" s="62"/>
      <c r="J25" s="62"/>
      <c r="K25" s="227">
        <f t="shared" si="11"/>
        <v>0</v>
      </c>
      <c r="L25" s="56"/>
      <c r="M25" s="204"/>
      <c r="N25" s="204">
        <f t="shared" si="9"/>
        <v>0</v>
      </c>
      <c r="O25" s="239"/>
      <c r="P25" s="204">
        <f t="shared" si="10"/>
        <v>0</v>
      </c>
      <c r="Q25" s="240"/>
      <c r="R25" s="240"/>
      <c r="S25" s="240"/>
      <c r="T25" s="66">
        <f t="shared" si="1"/>
        <v>0</v>
      </c>
      <c r="U25" s="66">
        <f t="shared" si="2"/>
        <v>0</v>
      </c>
      <c r="V25" s="66">
        <f t="shared" si="3"/>
        <v>0</v>
      </c>
      <c r="W25" s="202">
        <f t="shared" si="8"/>
        <v>0</v>
      </c>
      <c r="X25" s="66"/>
      <c r="Y25" s="241"/>
      <c r="Z25" s="208">
        <v>0</v>
      </c>
      <c r="AA25" s="68">
        <v>0</v>
      </c>
    </row>
    <row r="26" spans="1:27" s="242" customFormat="1">
      <c r="A26" s="236">
        <f t="shared" si="0"/>
        <v>60</v>
      </c>
      <c r="B26" s="237" t="s">
        <v>164</v>
      </c>
      <c r="C26" s="238">
        <v>0</v>
      </c>
      <c r="D26" s="238">
        <v>0</v>
      </c>
      <c r="E26" s="62"/>
      <c r="F26" s="62"/>
      <c r="G26" s="62"/>
      <c r="H26" s="63"/>
      <c r="I26" s="62"/>
      <c r="J26" s="62"/>
      <c r="K26" s="227">
        <f t="shared" si="11"/>
        <v>0</v>
      </c>
      <c r="L26" s="56"/>
      <c r="M26" s="204"/>
      <c r="N26" s="204">
        <f t="shared" si="9"/>
        <v>0</v>
      </c>
      <c r="O26" s="239"/>
      <c r="P26" s="204">
        <f t="shared" si="10"/>
        <v>0</v>
      </c>
      <c r="Q26" s="240"/>
      <c r="R26" s="240"/>
      <c r="S26" s="240"/>
      <c r="T26" s="66">
        <f t="shared" si="1"/>
        <v>0</v>
      </c>
      <c r="U26" s="66">
        <f t="shared" si="2"/>
        <v>0</v>
      </c>
      <c r="V26" s="66">
        <f t="shared" si="3"/>
        <v>0</v>
      </c>
      <c r="W26" s="202">
        <f t="shared" si="8"/>
        <v>0</v>
      </c>
      <c r="X26" s="66"/>
      <c r="Y26" s="241"/>
      <c r="Z26" s="208">
        <v>0</v>
      </c>
      <c r="AA26" s="68">
        <v>0</v>
      </c>
    </row>
    <row r="27" spans="1:27" s="242" customFormat="1">
      <c r="A27" s="236">
        <f t="shared" si="0"/>
        <v>61</v>
      </c>
      <c r="B27" s="237" t="s">
        <v>164</v>
      </c>
      <c r="C27" s="238">
        <v>150000</v>
      </c>
      <c r="D27" s="238">
        <v>0</v>
      </c>
      <c r="E27" s="62"/>
      <c r="F27" s="62"/>
      <c r="G27" s="62"/>
      <c r="H27" s="63"/>
      <c r="I27" s="62"/>
      <c r="J27" s="62"/>
      <c r="K27" s="227">
        <f t="shared" si="11"/>
        <v>0</v>
      </c>
      <c r="L27" s="56"/>
      <c r="M27" s="204"/>
      <c r="N27" s="204">
        <f t="shared" si="9"/>
        <v>0</v>
      </c>
      <c r="O27" s="239"/>
      <c r="P27" s="204">
        <f t="shared" si="10"/>
        <v>0</v>
      </c>
      <c r="Q27" s="240"/>
      <c r="R27" s="240"/>
      <c r="S27" s="240"/>
      <c r="T27" s="66">
        <f t="shared" si="1"/>
        <v>0</v>
      </c>
      <c r="U27" s="66">
        <f t="shared" si="2"/>
        <v>0</v>
      </c>
      <c r="V27" s="66">
        <f t="shared" si="3"/>
        <v>0</v>
      </c>
      <c r="W27" s="202">
        <f t="shared" si="8"/>
        <v>0</v>
      </c>
      <c r="X27" s="66"/>
      <c r="Y27" s="241"/>
      <c r="Z27" s="208">
        <v>0</v>
      </c>
      <c r="AA27" s="68"/>
    </row>
    <row r="28" spans="1:27" s="242" customFormat="1">
      <c r="A28" s="236" t="s">
        <v>189</v>
      </c>
      <c r="B28" s="237" t="s">
        <v>188</v>
      </c>
      <c r="C28" s="238"/>
      <c r="D28" s="238">
        <v>0</v>
      </c>
      <c r="E28" s="62">
        <v>0</v>
      </c>
      <c r="F28" s="62"/>
      <c r="G28" s="62">
        <v>0</v>
      </c>
      <c r="H28" s="63"/>
      <c r="I28" s="62">
        <v>0</v>
      </c>
      <c r="J28" s="62">
        <v>0</v>
      </c>
      <c r="K28" s="62">
        <v>36000</v>
      </c>
      <c r="L28" s="56">
        <v>0</v>
      </c>
      <c r="M28" s="204"/>
      <c r="N28" s="204">
        <f t="shared" si="9"/>
        <v>0</v>
      </c>
      <c r="O28" s="239"/>
      <c r="P28" s="204">
        <f t="shared" si="10"/>
        <v>0</v>
      </c>
      <c r="Q28" s="240"/>
      <c r="R28" s="240"/>
      <c r="S28" s="240"/>
      <c r="T28" s="66">
        <f t="shared" si="1"/>
        <v>0</v>
      </c>
      <c r="U28" s="66">
        <f t="shared" si="2"/>
        <v>0</v>
      </c>
      <c r="V28" s="66">
        <f t="shared" si="3"/>
        <v>0</v>
      </c>
      <c r="W28" s="202">
        <f t="shared" si="8"/>
        <v>36000</v>
      </c>
      <c r="X28" s="66"/>
      <c r="Y28" s="241"/>
      <c r="Z28" s="208">
        <v>0</v>
      </c>
      <c r="AA28" s="68"/>
    </row>
    <row r="29" spans="1:27" s="226" customFormat="1">
      <c r="A29" s="217">
        <v>62</v>
      </c>
      <c r="B29" s="218" t="s">
        <v>157</v>
      </c>
      <c r="C29" s="219">
        <f>SUM(C12:C27)</f>
        <v>2973225.8343540002</v>
      </c>
      <c r="D29" s="219">
        <f>SUM(D11:D28)</f>
        <v>765000</v>
      </c>
      <c r="E29" s="219">
        <f>310170+20909</f>
        <v>331079</v>
      </c>
      <c r="F29" s="219">
        <f>SUM(F11:F27)</f>
        <v>312000</v>
      </c>
      <c r="G29" s="219">
        <f>SUM(G11:G27)</f>
        <v>258999</v>
      </c>
      <c r="H29" s="243"/>
      <c r="I29" s="219">
        <f t="shared" ref="I29:N29" si="12">SUM(I11:I28)</f>
        <v>36000</v>
      </c>
      <c r="J29" s="219">
        <f t="shared" si="12"/>
        <v>234000</v>
      </c>
      <c r="K29" s="219">
        <f t="shared" si="12"/>
        <v>270000</v>
      </c>
      <c r="L29" s="220">
        <f t="shared" si="12"/>
        <v>36000</v>
      </c>
      <c r="M29" s="220">
        <f t="shared" si="12"/>
        <v>437500</v>
      </c>
      <c r="N29" s="220">
        <f t="shared" si="12"/>
        <v>473500</v>
      </c>
      <c r="O29" s="244"/>
      <c r="P29" s="220">
        <f t="shared" si="10"/>
        <v>473500</v>
      </c>
      <c r="Q29" s="222">
        <f>SUM(Q11:Q28)</f>
        <v>410000</v>
      </c>
      <c r="R29" s="222">
        <f>SUM(R11:R28)</f>
        <v>37000</v>
      </c>
      <c r="S29" s="222">
        <f>SUM(S11:S28)</f>
        <v>411000</v>
      </c>
      <c r="T29" s="222">
        <f t="shared" si="1"/>
        <v>448000</v>
      </c>
      <c r="U29" s="222">
        <f t="shared" si="2"/>
        <v>858000</v>
      </c>
      <c r="V29" s="222">
        <f t="shared" si="3"/>
        <v>1331500</v>
      </c>
      <c r="W29" s="219">
        <f t="shared" si="8"/>
        <v>860078</v>
      </c>
      <c r="X29" s="222"/>
      <c r="Y29" s="223"/>
      <c r="Z29" s="224">
        <v>848000</v>
      </c>
      <c r="AA29" s="225">
        <v>765000</v>
      </c>
    </row>
    <row r="30" spans="1:27">
      <c r="A30" s="201">
        <f t="shared" si="0"/>
        <v>63</v>
      </c>
      <c r="C30" s="202"/>
      <c r="D30" s="202"/>
      <c r="E30" s="202"/>
      <c r="F30" s="202"/>
      <c r="G30" s="202"/>
      <c r="H30" s="203"/>
      <c r="I30" s="202"/>
      <c r="J30" s="202"/>
      <c r="K30" s="202"/>
      <c r="L30" s="204"/>
      <c r="M30" s="204"/>
      <c r="N30" s="204">
        <f t="shared" si="9"/>
        <v>0</v>
      </c>
      <c r="O30" s="239"/>
      <c r="P30" s="204">
        <v>0</v>
      </c>
      <c r="Q30" s="205"/>
      <c r="R30" s="205"/>
      <c r="S30" s="205"/>
      <c r="T30" s="205">
        <f t="shared" si="1"/>
        <v>0</v>
      </c>
      <c r="U30" s="205">
        <f t="shared" si="2"/>
        <v>0</v>
      </c>
      <c r="V30" s="205">
        <f t="shared" si="3"/>
        <v>0</v>
      </c>
      <c r="W30" s="202">
        <f t="shared" si="8"/>
        <v>0</v>
      </c>
      <c r="X30" s="205"/>
      <c r="Y30" s="207"/>
      <c r="Z30" s="208"/>
      <c r="AA30" s="245"/>
    </row>
    <row r="31" spans="1:27" ht="33" customHeight="1">
      <c r="A31" s="201">
        <f t="shared" si="0"/>
        <v>64</v>
      </c>
      <c r="B31" s="15" t="s">
        <v>190</v>
      </c>
      <c r="C31" s="202"/>
      <c r="D31" s="202">
        <v>1476773.3150487677</v>
      </c>
      <c r="E31" s="202">
        <v>340543</v>
      </c>
      <c r="F31" s="202">
        <f>'[3]Salary Summary 19 for 2019-2021'!L11</f>
        <v>519505.56026476802</v>
      </c>
      <c r="G31" s="202">
        <f>F31</f>
        <v>519505.56026476802</v>
      </c>
      <c r="H31" s="203"/>
      <c r="I31" s="202"/>
      <c r="J31" s="202">
        <v>438521</v>
      </c>
      <c r="K31" s="89">
        <f>J31</f>
        <v>438521</v>
      </c>
      <c r="L31" s="204"/>
      <c r="M31" s="204">
        <f>'Salary Summary 21 for 2022-2024'!M12</f>
        <v>533172.35597359284</v>
      </c>
      <c r="N31" s="204">
        <f t="shared" si="9"/>
        <v>533172.35597359284</v>
      </c>
      <c r="O31" s="212" t="s">
        <v>191</v>
      </c>
      <c r="P31" s="204">
        <f>N31</f>
        <v>533172.35597359284</v>
      </c>
      <c r="Q31" s="246">
        <f>'Salary Summary 21 for 2022-2024'!Q12</f>
        <v>555432.77964907733</v>
      </c>
      <c r="R31" s="205"/>
      <c r="S31" s="246">
        <f>'Salary Summary 21 for 2022-2024'!U12</f>
        <v>573613.26106630836</v>
      </c>
      <c r="T31" s="66">
        <f t="shared" si="1"/>
        <v>573613.26106630836</v>
      </c>
      <c r="U31" s="66">
        <f t="shared" si="2"/>
        <v>1129046.0407153857</v>
      </c>
      <c r="V31" s="66">
        <f t="shared" si="3"/>
        <v>1662218.3966889787</v>
      </c>
      <c r="W31" s="202">
        <f t="shared" si="8"/>
        <v>1298569.5602647681</v>
      </c>
      <c r="X31" s="66"/>
      <c r="Y31" s="207" t="s">
        <v>192</v>
      </c>
      <c r="Z31" s="208">
        <v>1129046.0407153857</v>
      </c>
      <c r="AA31" s="68">
        <v>1532521.0635625361</v>
      </c>
    </row>
    <row r="32" spans="1:27" s="255" customFormat="1" ht="16.149999999999999" thickBot="1">
      <c r="A32" s="247">
        <v>65</v>
      </c>
      <c r="B32" s="248" t="s">
        <v>193</v>
      </c>
      <c r="C32" s="249">
        <f>C10+C29</f>
        <v>5973225.8343540002</v>
      </c>
      <c r="D32" s="249">
        <f t="shared" ref="D32:N32" si="13">D10+D29+D31</f>
        <v>5241773.3150487673</v>
      </c>
      <c r="E32" s="249">
        <f t="shared" si="13"/>
        <v>1766017</v>
      </c>
      <c r="F32" s="249">
        <f t="shared" si="13"/>
        <v>1831505.5602647681</v>
      </c>
      <c r="G32" s="249">
        <f t="shared" si="13"/>
        <v>1778504.5602647681</v>
      </c>
      <c r="H32" s="249">
        <f t="shared" si="13"/>
        <v>0</v>
      </c>
      <c r="I32" s="249">
        <f t="shared" si="13"/>
        <v>36000</v>
      </c>
      <c r="J32" s="249">
        <f t="shared" si="13"/>
        <v>1578126</v>
      </c>
      <c r="K32" s="249">
        <f t="shared" si="13"/>
        <v>1614126</v>
      </c>
      <c r="L32" s="250">
        <f t="shared" si="13"/>
        <v>36000</v>
      </c>
      <c r="M32" s="250">
        <f t="shared" si="13"/>
        <v>1970672.355973593</v>
      </c>
      <c r="N32" s="250">
        <f t="shared" si="13"/>
        <v>2006672.355973593</v>
      </c>
      <c r="O32" s="250"/>
      <c r="P32" s="250">
        <f>N32</f>
        <v>2006672.355973593</v>
      </c>
      <c r="Q32" s="251">
        <f>Q10+Q29+Q31</f>
        <v>1698932.7796490774</v>
      </c>
      <c r="R32" s="251">
        <f>R10+R29+R31</f>
        <v>37000</v>
      </c>
      <c r="S32" s="251">
        <f>S10+S29+S31</f>
        <v>1718113.2610663082</v>
      </c>
      <c r="T32" s="251">
        <f t="shared" si="1"/>
        <v>1755113.2610663082</v>
      </c>
      <c r="U32" s="251">
        <f t="shared" si="2"/>
        <v>3454046.0407153857</v>
      </c>
      <c r="V32" s="251">
        <f t="shared" si="3"/>
        <v>5460718.3966889791</v>
      </c>
      <c r="W32" s="249">
        <f>W10+W29+W31</f>
        <v>5158647.5602647681</v>
      </c>
      <c r="X32" s="251"/>
      <c r="Y32" s="252"/>
      <c r="Z32" s="253">
        <v>3748046.0407153857</v>
      </c>
      <c r="AA32" s="254">
        <v>5297521.0635625366</v>
      </c>
    </row>
    <row r="34" spans="2:26">
      <c r="O34" s="258"/>
    </row>
    <row r="37" spans="2:26">
      <c r="K37" s="89">
        <f>SUM(K27:K36)</f>
        <v>2358647</v>
      </c>
      <c r="W37" s="89">
        <f>E32+G32+K32</f>
        <v>5158647.5602647681</v>
      </c>
    </row>
    <row r="38" spans="2:26">
      <c r="F38" s="89">
        <f>SUBTOTAL(9,F8:F19)</f>
        <v>2217000</v>
      </c>
      <c r="W38" s="89">
        <f>W37-W32</f>
        <v>0</v>
      </c>
    </row>
    <row r="39" spans="2:26">
      <c r="F39" s="89">
        <v>1141667</v>
      </c>
    </row>
    <row r="41" spans="2:26">
      <c r="B41" s="215"/>
      <c r="C41" s="259"/>
      <c r="D41" s="259"/>
      <c r="E41" s="259"/>
      <c r="F41" s="259"/>
      <c r="G41" s="259"/>
      <c r="H41" s="260"/>
      <c r="I41" s="259"/>
      <c r="J41" s="259"/>
      <c r="K41" s="259"/>
      <c r="L41" s="259"/>
      <c r="M41" s="259"/>
      <c r="N41" s="259"/>
      <c r="P41" s="259"/>
      <c r="W41" s="259"/>
      <c r="Z41" s="261"/>
    </row>
    <row r="42" spans="2:26">
      <c r="B42" s="215"/>
      <c r="C42" s="259"/>
      <c r="D42" s="259"/>
      <c r="E42" s="259"/>
      <c r="F42" s="259"/>
      <c r="G42" s="259"/>
      <c r="H42" s="260"/>
      <c r="I42" s="259"/>
      <c r="J42" s="259"/>
      <c r="K42" s="259"/>
      <c r="L42" s="259"/>
      <c r="M42" s="259"/>
      <c r="N42" s="259"/>
      <c r="P42" s="259"/>
      <c r="W42" s="259"/>
      <c r="Z42" s="261"/>
    </row>
    <row r="43" spans="2:26">
      <c r="B43" s="215"/>
      <c r="C43" s="259"/>
      <c r="D43" s="259"/>
      <c r="E43" s="259"/>
      <c r="F43" s="259"/>
      <c r="G43" s="259"/>
      <c r="H43" s="260"/>
      <c r="I43" s="259"/>
      <c r="J43" s="259">
        <f>SUM(J39:J42)</f>
        <v>0</v>
      </c>
      <c r="K43" s="259"/>
      <c r="L43" s="259"/>
      <c r="M43" s="259"/>
      <c r="N43" s="259"/>
      <c r="O43" s="259"/>
      <c r="P43" s="259"/>
      <c r="W43" s="259"/>
      <c r="Z43" s="261"/>
    </row>
    <row r="44" spans="2:26">
      <c r="B44" s="215"/>
      <c r="C44" s="259"/>
      <c r="D44" s="259"/>
      <c r="E44" s="259"/>
      <c r="F44" s="259"/>
      <c r="G44" s="259"/>
      <c r="H44" s="260"/>
      <c r="I44" s="259"/>
      <c r="J44" s="259"/>
      <c r="K44" s="259"/>
      <c r="L44" s="259"/>
      <c r="M44" s="259"/>
      <c r="N44" s="259"/>
      <c r="O44" s="259"/>
      <c r="P44" s="259"/>
      <c r="W44" s="259"/>
      <c r="Z44" s="261"/>
    </row>
    <row r="45" spans="2:26">
      <c r="B45" s="215"/>
      <c r="C45" s="189"/>
      <c r="D45" s="189"/>
      <c r="E45" s="189"/>
      <c r="F45" s="189"/>
      <c r="G45" s="189"/>
      <c r="H45" s="190"/>
      <c r="I45" s="189"/>
      <c r="J45" s="189"/>
      <c r="K45" s="189"/>
      <c r="L45" s="189"/>
      <c r="M45" s="189"/>
      <c r="N45" s="189"/>
      <c r="O45" s="259"/>
      <c r="P45" s="189"/>
      <c r="W45" s="189"/>
      <c r="Z45" s="262"/>
    </row>
    <row r="46" spans="2:26">
      <c r="O46" s="259"/>
    </row>
    <row r="47" spans="2:26">
      <c r="B47" s="215"/>
      <c r="C47" s="259"/>
      <c r="D47" s="259"/>
      <c r="E47" s="259"/>
      <c r="F47" s="259"/>
      <c r="G47" s="259"/>
      <c r="H47" s="260"/>
      <c r="I47" s="259"/>
      <c r="J47" s="259"/>
      <c r="K47" s="259"/>
      <c r="L47" s="259"/>
      <c r="M47" s="259"/>
      <c r="N47" s="259"/>
      <c r="O47" s="189"/>
      <c r="P47" s="259"/>
      <c r="W47" s="259"/>
      <c r="Z47" s="261"/>
    </row>
    <row r="48" spans="2:26">
      <c r="C48" s="259"/>
      <c r="D48" s="259"/>
      <c r="E48" s="259"/>
      <c r="F48" s="259"/>
      <c r="G48" s="259"/>
      <c r="H48" s="260"/>
      <c r="I48" s="259"/>
      <c r="J48" s="259"/>
      <c r="K48" s="259"/>
      <c r="L48" s="259"/>
      <c r="M48" s="259"/>
      <c r="N48" s="259"/>
      <c r="P48" s="259"/>
      <c r="W48" s="259"/>
      <c r="Z48" s="261"/>
    </row>
    <row r="49" spans="1:15">
      <c r="O49" s="259"/>
    </row>
    <row r="50" spans="1:15">
      <c r="O50" s="259"/>
    </row>
    <row r="58" spans="1:15">
      <c r="A58" s="201" t="s">
        <v>194</v>
      </c>
      <c r="B58" s="15" t="s">
        <v>195</v>
      </c>
      <c r="K58" s="89">
        <v>6000</v>
      </c>
    </row>
    <row r="59" spans="1:15">
      <c r="J59" s="89">
        <f>SUM(J48:J58)</f>
        <v>0</v>
      </c>
      <c r="K59" s="89">
        <f>SUM(K48:K58)</f>
        <v>6000</v>
      </c>
    </row>
    <row r="69" spans="15:15">
      <c r="O69" s="89" t="s">
        <v>196</v>
      </c>
    </row>
  </sheetData>
  <autoFilter ref="B5:O33" xr:uid="{00000000-0009-0000-0000-000005000000}"/>
  <printOptions horizontalCentered="1" headings="1" gridLines="1"/>
  <pageMargins left="0" right="0" top="0.75" bottom="0.25" header="0.25" footer="0.25"/>
  <pageSetup scale="38" fitToHeight="4" orientation="landscape" r:id="rId1"/>
  <headerFooter>
    <oddFooter>Page &amp;P of &amp;N</oddFooter>
  </headerFooter>
  <rowBreaks count="1" manualBreakCount="1">
    <brk id="19" max="24" man="1"/>
  </rowBreaks>
  <colBreaks count="1" manualBreakCount="1">
    <brk id="15" max="4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022D9-1400-4679-8BD3-47680AFB594F}">
  <sheetPr>
    <tabColor rgb="FF00B050"/>
    <pageSetUpPr fitToPage="1"/>
  </sheetPr>
  <dimension ref="A1:AA149"/>
  <sheetViews>
    <sheetView tabSelected="1" view="pageBreakPreview" zoomScale="75" zoomScaleNormal="100" zoomScaleSheetLayoutView="75" workbookViewId="0">
      <pane xSplit="10" ySplit="5" topLeftCell="P92" activePane="bottomRight" state="frozen"/>
      <selection activeCell="Y25" sqref="Y25"/>
      <selection pane="topRight" activeCell="Y25" sqref="Y25"/>
      <selection pane="bottomLeft" activeCell="Y25" sqref="Y25"/>
      <selection pane="bottomRight" activeCell="Y25" sqref="Y25"/>
    </sheetView>
  </sheetViews>
  <sheetFormatPr defaultColWidth="10.5625" defaultRowHeight="14.25"/>
  <cols>
    <col min="1" max="1" width="10.5625" style="236" customWidth="1"/>
    <col min="2" max="2" width="40.3125" style="299" customWidth="1"/>
    <col min="3" max="3" width="15.0625" style="300" hidden="1" customWidth="1"/>
    <col min="4" max="4" width="16.0625" style="300" hidden="1" customWidth="1"/>
    <col min="5" max="5" width="14.25" style="300" hidden="1" customWidth="1"/>
    <col min="6" max="6" width="14.75" style="300" hidden="1" customWidth="1"/>
    <col min="7" max="7" width="22.5" style="300" hidden="1" customWidth="1"/>
    <col min="8" max="8" width="20.8125" style="300" hidden="1" customWidth="1"/>
    <col min="9" max="9" width="20.5" style="300" hidden="1" customWidth="1"/>
    <col min="10" max="10" width="22.5" style="300" hidden="1" customWidth="1"/>
    <col min="11" max="11" width="13.5" style="300" hidden="1" customWidth="1"/>
    <col min="12" max="12" width="10.5" style="300" hidden="1" customWidth="1"/>
    <col min="13" max="13" width="10.5625" style="300" hidden="1" customWidth="1"/>
    <col min="14" max="14" width="16.0625" style="300" hidden="1" customWidth="1"/>
    <col min="15" max="15" width="55.5" style="300" hidden="1" customWidth="1"/>
    <col min="16" max="16" width="16.0625" style="300" customWidth="1"/>
    <col min="17" max="17" width="20.8125" style="298" customWidth="1"/>
    <col min="18" max="18" width="18" style="298" customWidth="1"/>
    <col min="19" max="19" width="20.3125" style="298" customWidth="1"/>
    <col min="20" max="20" width="14.5" style="298" customWidth="1"/>
    <col min="21" max="21" width="19.8125" style="298" customWidth="1"/>
    <col min="22" max="22" width="15.5625" style="238" customWidth="1"/>
    <col min="23" max="23" width="18.75" style="300" customWidth="1"/>
    <col min="24" max="24" width="25.3125" style="298" customWidth="1"/>
    <col min="25" max="25" width="51.75" style="437" customWidth="1"/>
    <col min="26" max="26" width="16.9375" style="302" customWidth="1"/>
    <col min="27" max="27" width="17.5625" style="238" customWidth="1"/>
    <col min="28" max="16384" width="10.5625" style="298"/>
  </cols>
  <sheetData>
    <row r="1" spans="1:27" s="176" customFormat="1" ht="15.75">
      <c r="A1" s="1" t="s">
        <v>0</v>
      </c>
      <c r="B1" s="263"/>
      <c r="C1" s="172"/>
      <c r="D1" s="172"/>
      <c r="E1" s="172"/>
      <c r="F1" s="172"/>
      <c r="G1" s="173"/>
      <c r="H1" s="173"/>
      <c r="I1" s="172"/>
      <c r="J1" s="172"/>
      <c r="K1" s="172"/>
      <c r="L1" s="175"/>
      <c r="M1" s="175"/>
      <c r="N1" s="181"/>
      <c r="O1" s="177" t="s">
        <v>1</v>
      </c>
      <c r="P1" s="181"/>
      <c r="U1" s="181"/>
      <c r="V1" s="181"/>
      <c r="W1" s="172"/>
      <c r="X1" s="181"/>
      <c r="Y1" s="264" t="s">
        <v>1</v>
      </c>
      <c r="Z1" s="175"/>
      <c r="AA1" s="181"/>
    </row>
    <row r="2" spans="1:27" s="176" customFormat="1" ht="15.75">
      <c r="A2" s="11" t="s">
        <v>1167</v>
      </c>
      <c r="B2" s="180"/>
      <c r="C2" s="181"/>
      <c r="D2" s="181"/>
      <c r="E2" s="181"/>
      <c r="F2" s="181"/>
      <c r="G2" s="173"/>
      <c r="H2" s="173"/>
      <c r="I2" s="181"/>
      <c r="J2" s="181"/>
      <c r="K2" s="181"/>
      <c r="L2" s="175"/>
      <c r="M2" s="175"/>
      <c r="N2" s="181"/>
      <c r="O2" s="265" t="s">
        <v>2</v>
      </c>
      <c r="P2" s="181"/>
      <c r="U2" s="181"/>
      <c r="V2" s="181"/>
      <c r="W2" s="181"/>
      <c r="X2" s="181"/>
      <c r="Y2" s="266"/>
      <c r="Z2" s="175"/>
      <c r="AA2" s="181"/>
    </row>
    <row r="3" spans="1:27" s="269" customFormat="1" ht="15.75">
      <c r="A3" s="14" t="s">
        <v>197</v>
      </c>
      <c r="B3" s="267"/>
      <c r="C3" s="183"/>
      <c r="D3" s="183"/>
      <c r="E3" s="183"/>
      <c r="F3" s="183"/>
      <c r="G3" s="173"/>
      <c r="H3" s="173"/>
      <c r="I3" s="183"/>
      <c r="J3" s="183"/>
      <c r="K3" s="183"/>
      <c r="L3" s="183"/>
      <c r="M3" s="183"/>
      <c r="N3" s="183"/>
      <c r="O3" s="268" t="s">
        <v>4</v>
      </c>
      <c r="P3" s="183"/>
      <c r="V3" s="178"/>
      <c r="W3" s="183"/>
      <c r="Y3" s="270"/>
      <c r="Z3" s="271"/>
      <c r="AA3" s="178"/>
    </row>
    <row r="4" spans="1:27" s="276" customFormat="1" ht="14.65" thickBot="1">
      <c r="A4" s="272"/>
      <c r="B4" s="273"/>
      <c r="C4" s="274"/>
      <c r="D4" s="274"/>
      <c r="E4" s="274"/>
      <c r="F4" s="274"/>
      <c r="G4" s="274"/>
      <c r="H4" s="274"/>
      <c r="I4" s="274"/>
      <c r="J4" s="274"/>
      <c r="K4" s="274"/>
      <c r="L4" s="274"/>
      <c r="M4" s="274"/>
      <c r="N4" s="274"/>
      <c r="O4" s="275"/>
      <c r="P4" s="274"/>
      <c r="V4" s="238"/>
      <c r="W4" s="274"/>
      <c r="Y4" s="277"/>
      <c r="Z4" s="278"/>
      <c r="AA4" s="238"/>
    </row>
    <row r="5" spans="1:27" s="189" customFormat="1" ht="63.4" thickBot="1">
      <c r="A5" s="279" t="s">
        <v>5</v>
      </c>
      <c r="B5" s="280" t="s">
        <v>6</v>
      </c>
      <c r="C5" s="281" t="s">
        <v>7</v>
      </c>
      <c r="D5" s="282" t="s">
        <v>8</v>
      </c>
      <c r="E5" s="192" t="s">
        <v>9</v>
      </c>
      <c r="F5" s="192" t="s">
        <v>10</v>
      </c>
      <c r="G5" s="192" t="s">
        <v>11</v>
      </c>
      <c r="H5" s="192" t="s">
        <v>12</v>
      </c>
      <c r="I5" s="283" t="s">
        <v>141</v>
      </c>
      <c r="J5" s="283" t="s">
        <v>142</v>
      </c>
      <c r="K5" s="283" t="s">
        <v>15</v>
      </c>
      <c r="L5" s="284" t="s">
        <v>143</v>
      </c>
      <c r="M5" s="284" t="s">
        <v>17</v>
      </c>
      <c r="N5" s="284" t="s">
        <v>144</v>
      </c>
      <c r="O5" s="284" t="s">
        <v>145</v>
      </c>
      <c r="P5" s="284" t="s">
        <v>20</v>
      </c>
      <c r="Q5" s="285" t="s">
        <v>146</v>
      </c>
      <c r="R5" s="285" t="s">
        <v>147</v>
      </c>
      <c r="S5" s="285" t="s">
        <v>23</v>
      </c>
      <c r="T5" s="285" t="s">
        <v>24</v>
      </c>
      <c r="U5" s="285" t="s">
        <v>25</v>
      </c>
      <c r="V5" s="286" t="s">
        <v>148</v>
      </c>
      <c r="W5" s="287" t="s">
        <v>27</v>
      </c>
      <c r="X5" s="288" t="s">
        <v>28</v>
      </c>
      <c r="Y5" s="197" t="s">
        <v>29</v>
      </c>
      <c r="Z5" s="289" t="s">
        <v>30</v>
      </c>
      <c r="AA5" s="290" t="s">
        <v>149</v>
      </c>
    </row>
    <row r="6" spans="1:27">
      <c r="A6" s="291">
        <f>EvngelismTotal+1</f>
        <v>66</v>
      </c>
      <c r="B6" s="292" t="s">
        <v>198</v>
      </c>
      <c r="C6" s="63"/>
      <c r="D6" s="63"/>
      <c r="E6" s="63"/>
      <c r="F6" s="63"/>
      <c r="G6" s="63"/>
      <c r="H6" s="63"/>
      <c r="I6" s="63"/>
      <c r="J6" s="63"/>
      <c r="K6" s="63"/>
      <c r="L6" s="77"/>
      <c r="M6" s="77"/>
      <c r="N6" s="77"/>
      <c r="O6" s="77"/>
      <c r="P6" s="77"/>
      <c r="Q6" s="293"/>
      <c r="R6" s="293"/>
      <c r="S6" s="293"/>
      <c r="T6" s="293"/>
      <c r="U6" s="293"/>
      <c r="V6" s="294"/>
      <c r="W6" s="63"/>
      <c r="X6" s="293"/>
      <c r="Y6" s="295"/>
      <c r="Z6" s="296"/>
      <c r="AA6" s="297"/>
    </row>
    <row r="7" spans="1:27">
      <c r="A7" s="236">
        <f>A6+1</f>
        <v>67</v>
      </c>
      <c r="C7" s="63">
        <v>0</v>
      </c>
      <c r="D7" s="63"/>
      <c r="E7" s="63"/>
      <c r="F7" s="63"/>
      <c r="G7" s="63"/>
      <c r="H7" s="63"/>
      <c r="I7" s="63"/>
      <c r="J7" s="63"/>
      <c r="K7" s="63"/>
      <c r="L7" s="77"/>
      <c r="M7" s="77"/>
      <c r="N7" s="77"/>
      <c r="O7" s="77"/>
      <c r="P7" s="77"/>
      <c r="Q7" s="293"/>
      <c r="R7" s="293"/>
      <c r="S7" s="293"/>
      <c r="T7" s="293"/>
      <c r="U7" s="293"/>
      <c r="V7" s="294"/>
      <c r="W7" s="63"/>
      <c r="X7" s="293"/>
      <c r="Y7" s="295"/>
      <c r="Z7" s="296"/>
      <c r="AA7" s="297"/>
    </row>
    <row r="8" spans="1:27">
      <c r="A8" s="236">
        <f t="shared" ref="A8:A70" si="0">A7+1</f>
        <v>68</v>
      </c>
      <c r="B8" s="299" t="s">
        <v>164</v>
      </c>
      <c r="L8" s="301"/>
      <c r="M8" s="301"/>
      <c r="N8" s="301">
        <f t="shared" ref="N8:N72" si="1">L8+M8</f>
        <v>0</v>
      </c>
      <c r="O8" s="301"/>
      <c r="P8" s="301">
        <f t="shared" ref="P8:P26" si="2">N8</f>
        <v>0</v>
      </c>
      <c r="Q8" s="293"/>
      <c r="R8" s="293"/>
      <c r="S8" s="293"/>
      <c r="T8" s="66">
        <f t="shared" ref="T8:T71" si="3">R8+S8</f>
        <v>0</v>
      </c>
      <c r="U8" s="66">
        <f t="shared" ref="U8:U71" si="4">Q8+T8</f>
        <v>0</v>
      </c>
      <c r="V8" s="66">
        <f t="shared" ref="V8:V71" si="5">U8+P8</f>
        <v>0</v>
      </c>
      <c r="X8" s="66"/>
      <c r="Y8" s="295"/>
      <c r="Z8" s="302">
        <v>0</v>
      </c>
      <c r="AA8" s="68"/>
    </row>
    <row r="9" spans="1:27">
      <c r="A9" s="236">
        <f t="shared" si="0"/>
        <v>69</v>
      </c>
      <c r="B9" s="299" t="s">
        <v>164</v>
      </c>
      <c r="C9" s="63">
        <v>64000</v>
      </c>
      <c r="D9" s="63">
        <v>0</v>
      </c>
      <c r="E9" s="63"/>
      <c r="F9" s="63"/>
      <c r="G9" s="63"/>
      <c r="H9" s="63"/>
      <c r="I9" s="63"/>
      <c r="J9" s="63"/>
      <c r="K9" s="63"/>
      <c r="L9" s="77"/>
      <c r="M9" s="77"/>
      <c r="N9" s="77">
        <f t="shared" si="1"/>
        <v>0</v>
      </c>
      <c r="O9" s="77"/>
      <c r="P9" s="301">
        <f t="shared" si="2"/>
        <v>0</v>
      </c>
      <c r="Q9" s="293"/>
      <c r="R9" s="293"/>
      <c r="S9" s="293"/>
      <c r="T9" s="66">
        <f t="shared" si="3"/>
        <v>0</v>
      </c>
      <c r="U9" s="66">
        <f t="shared" si="4"/>
        <v>0</v>
      </c>
      <c r="V9" s="66">
        <f t="shared" si="5"/>
        <v>0</v>
      </c>
      <c r="W9" s="63">
        <f>E9+G9+K9</f>
        <v>0</v>
      </c>
      <c r="X9" s="66"/>
      <c r="Y9" s="295"/>
      <c r="Z9" s="296">
        <v>0</v>
      </c>
      <c r="AA9" s="68"/>
    </row>
    <row r="10" spans="1:27" ht="28.15" customHeight="1">
      <c r="A10" s="236">
        <f t="shared" si="0"/>
        <v>70</v>
      </c>
      <c r="B10" s="237" t="s">
        <v>199</v>
      </c>
      <c r="C10" s="63">
        <v>120000</v>
      </c>
      <c r="D10" s="63">
        <v>90000</v>
      </c>
      <c r="E10" s="63">
        <v>5538</v>
      </c>
      <c r="F10" s="63">
        <v>30000</v>
      </c>
      <c r="G10" s="63">
        <v>12000</v>
      </c>
      <c r="H10" s="63" t="s">
        <v>200</v>
      </c>
      <c r="I10" s="63">
        <v>2000</v>
      </c>
      <c r="J10" s="63">
        <v>33000</v>
      </c>
      <c r="K10" s="63">
        <f>J10</f>
        <v>33000</v>
      </c>
      <c r="L10" s="77">
        <v>2000</v>
      </c>
      <c r="M10" s="77">
        <v>15000</v>
      </c>
      <c r="N10" s="77">
        <f t="shared" si="1"/>
        <v>17000</v>
      </c>
      <c r="O10" s="77" t="s">
        <v>201</v>
      </c>
      <c r="P10" s="301">
        <f t="shared" si="2"/>
        <v>17000</v>
      </c>
      <c r="Q10" s="293">
        <v>17000</v>
      </c>
      <c r="R10" s="293"/>
      <c r="S10" s="293">
        <v>17000</v>
      </c>
      <c r="T10" s="66">
        <f t="shared" si="3"/>
        <v>17000</v>
      </c>
      <c r="U10" s="66">
        <f t="shared" si="4"/>
        <v>34000</v>
      </c>
      <c r="V10" s="66">
        <f t="shared" si="5"/>
        <v>51000</v>
      </c>
      <c r="W10" s="63">
        <f>E10+G10+K10</f>
        <v>50538</v>
      </c>
      <c r="X10" s="66"/>
      <c r="Y10" s="295" t="s">
        <v>201</v>
      </c>
      <c r="Z10" s="296">
        <v>34000</v>
      </c>
      <c r="AA10" s="68">
        <v>90000</v>
      </c>
    </row>
    <row r="11" spans="1:27" ht="27.4" customHeight="1">
      <c r="A11" s="236">
        <f t="shared" si="0"/>
        <v>71</v>
      </c>
      <c r="B11" s="299" t="s">
        <v>202</v>
      </c>
      <c r="C11" s="63">
        <v>125000</v>
      </c>
      <c r="D11" s="63"/>
      <c r="E11" s="63"/>
      <c r="F11" s="63"/>
      <c r="G11" s="63"/>
      <c r="H11" s="63"/>
      <c r="I11" s="63"/>
      <c r="J11" s="63"/>
      <c r="K11" s="63">
        <f t="shared" ref="K11:K23" si="6">J11</f>
        <v>0</v>
      </c>
      <c r="L11" s="77"/>
      <c r="M11" s="77"/>
      <c r="N11" s="77">
        <f t="shared" si="1"/>
        <v>0</v>
      </c>
      <c r="O11" s="77"/>
      <c r="P11" s="301">
        <f t="shared" si="2"/>
        <v>0</v>
      </c>
      <c r="Q11" s="293"/>
      <c r="R11" s="293"/>
      <c r="S11" s="293"/>
      <c r="T11" s="66">
        <f t="shared" si="3"/>
        <v>0</v>
      </c>
      <c r="U11" s="66">
        <f t="shared" si="4"/>
        <v>0</v>
      </c>
      <c r="V11" s="66">
        <f t="shared" si="5"/>
        <v>0</v>
      </c>
      <c r="W11" s="63"/>
      <c r="X11" s="66"/>
      <c r="Y11" s="295"/>
      <c r="Z11" s="296">
        <v>0</v>
      </c>
      <c r="AA11" s="68">
        <v>0</v>
      </c>
    </row>
    <row r="12" spans="1:27" ht="27.4" customHeight="1">
      <c r="A12" s="236">
        <f t="shared" si="0"/>
        <v>72</v>
      </c>
      <c r="B12" s="303" t="s">
        <v>203</v>
      </c>
      <c r="C12" s="63">
        <v>200000</v>
      </c>
      <c r="D12" s="63">
        <v>180000</v>
      </c>
      <c r="E12" s="63">
        <v>62312</v>
      </c>
      <c r="F12" s="63">
        <v>60000</v>
      </c>
      <c r="G12" s="63">
        <v>60000</v>
      </c>
      <c r="H12" s="63" t="s">
        <v>204</v>
      </c>
      <c r="I12" s="63"/>
      <c r="J12" s="63">
        <v>120000</v>
      </c>
      <c r="K12" s="63">
        <f t="shared" si="6"/>
        <v>120000</v>
      </c>
      <c r="L12" s="77"/>
      <c r="M12" s="77">
        <v>50000</v>
      </c>
      <c r="N12" s="77">
        <f t="shared" si="1"/>
        <v>50000</v>
      </c>
      <c r="O12" s="301" t="s">
        <v>205</v>
      </c>
      <c r="P12" s="301">
        <f t="shared" si="2"/>
        <v>50000</v>
      </c>
      <c r="Q12" s="293">
        <v>50000</v>
      </c>
      <c r="R12" s="293"/>
      <c r="S12" s="293">
        <v>50000</v>
      </c>
      <c r="T12" s="66">
        <f t="shared" si="3"/>
        <v>50000</v>
      </c>
      <c r="U12" s="66">
        <f t="shared" si="4"/>
        <v>100000</v>
      </c>
      <c r="V12" s="66">
        <f t="shared" si="5"/>
        <v>150000</v>
      </c>
      <c r="W12" s="63">
        <f>E12+G12+K12</f>
        <v>242312</v>
      </c>
      <c r="X12" s="66"/>
      <c r="Y12" s="295" t="s">
        <v>206</v>
      </c>
      <c r="Z12" s="296">
        <v>100000</v>
      </c>
      <c r="AA12" s="68">
        <v>180000</v>
      </c>
    </row>
    <row r="13" spans="1:27" ht="27.4" customHeight="1">
      <c r="A13" s="236">
        <v>80</v>
      </c>
      <c r="B13" s="303" t="s">
        <v>207</v>
      </c>
      <c r="C13" s="300">
        <v>30000</v>
      </c>
      <c r="D13" s="63">
        <v>40000</v>
      </c>
      <c r="E13" s="63">
        <f>7737+8230+264</f>
        <v>16231</v>
      </c>
      <c r="F13" s="63">
        <v>12500</v>
      </c>
      <c r="G13" s="63">
        <v>5000</v>
      </c>
      <c r="H13" s="63" t="s">
        <v>208</v>
      </c>
      <c r="I13" s="63">
        <v>0</v>
      </c>
      <c r="J13" s="63">
        <v>5000</v>
      </c>
      <c r="K13" s="63">
        <f t="shared" si="6"/>
        <v>5000</v>
      </c>
      <c r="L13" s="77">
        <v>0</v>
      </c>
      <c r="M13" s="77">
        <v>15000</v>
      </c>
      <c r="N13" s="77">
        <f t="shared" si="1"/>
        <v>15000</v>
      </c>
      <c r="O13" s="301"/>
      <c r="P13" s="301">
        <f t="shared" si="2"/>
        <v>15000</v>
      </c>
      <c r="Q13" s="293">
        <v>15000</v>
      </c>
      <c r="R13" s="293"/>
      <c r="S13" s="293">
        <v>15000</v>
      </c>
      <c r="T13" s="66">
        <f t="shared" si="3"/>
        <v>15000</v>
      </c>
      <c r="U13" s="66">
        <f t="shared" si="4"/>
        <v>30000</v>
      </c>
      <c r="V13" s="66">
        <f t="shared" si="5"/>
        <v>45000</v>
      </c>
      <c r="W13" s="63">
        <f>E13+G13+K13</f>
        <v>26231</v>
      </c>
      <c r="X13" s="66"/>
      <c r="Y13" s="295"/>
      <c r="Z13" s="296">
        <v>30000</v>
      </c>
      <c r="AA13" s="68">
        <v>40000</v>
      </c>
    </row>
    <row r="14" spans="1:27">
      <c r="A14" s="236">
        <v>73</v>
      </c>
      <c r="B14" s="237" t="s">
        <v>164</v>
      </c>
      <c r="C14" s="63">
        <v>0</v>
      </c>
      <c r="D14" s="63">
        <v>0</v>
      </c>
      <c r="E14" s="63"/>
      <c r="F14" s="63"/>
      <c r="G14" s="63"/>
      <c r="H14" s="63"/>
      <c r="I14" s="63"/>
      <c r="J14" s="63"/>
      <c r="K14" s="63">
        <f t="shared" si="6"/>
        <v>0</v>
      </c>
      <c r="L14" s="77"/>
      <c r="M14" s="77"/>
      <c r="N14" s="77">
        <f t="shared" si="1"/>
        <v>0</v>
      </c>
      <c r="O14" s="77"/>
      <c r="P14" s="301">
        <f t="shared" si="2"/>
        <v>0</v>
      </c>
      <c r="Q14" s="293"/>
      <c r="R14" s="293"/>
      <c r="S14" s="293"/>
      <c r="T14" s="66">
        <f t="shared" si="3"/>
        <v>0</v>
      </c>
      <c r="U14" s="66">
        <f t="shared" si="4"/>
        <v>0</v>
      </c>
      <c r="V14" s="66">
        <f t="shared" si="5"/>
        <v>0</v>
      </c>
      <c r="W14" s="63"/>
      <c r="X14" s="66"/>
      <c r="Y14" s="295"/>
      <c r="Z14" s="296">
        <v>0</v>
      </c>
      <c r="AA14" s="68">
        <v>0</v>
      </c>
    </row>
    <row r="15" spans="1:27" ht="19.05" customHeight="1">
      <c r="A15" s="236">
        <f t="shared" si="0"/>
        <v>74</v>
      </c>
      <c r="B15" s="237" t="s">
        <v>209</v>
      </c>
      <c r="C15" s="63">
        <v>60000</v>
      </c>
      <c r="D15" s="63">
        <v>80000</v>
      </c>
      <c r="E15" s="63"/>
      <c r="F15" s="63">
        <v>38000</v>
      </c>
      <c r="G15" s="63">
        <v>20000</v>
      </c>
      <c r="H15" s="63" t="s">
        <v>210</v>
      </c>
      <c r="I15" s="63">
        <v>5000</v>
      </c>
      <c r="J15" s="63">
        <v>20000</v>
      </c>
      <c r="K15" s="63">
        <f t="shared" si="6"/>
        <v>20000</v>
      </c>
      <c r="L15" s="77">
        <v>5000</v>
      </c>
      <c r="M15" s="77">
        <v>20000</v>
      </c>
      <c r="N15" s="77">
        <f t="shared" si="1"/>
        <v>25000</v>
      </c>
      <c r="O15" s="77"/>
      <c r="P15" s="301">
        <f t="shared" si="2"/>
        <v>25000</v>
      </c>
      <c r="Q15" s="304">
        <v>20000</v>
      </c>
      <c r="R15" s="293">
        <v>7000</v>
      </c>
      <c r="S15" s="304">
        <v>20000</v>
      </c>
      <c r="T15" s="66">
        <f t="shared" si="3"/>
        <v>27000</v>
      </c>
      <c r="U15" s="66">
        <f t="shared" si="4"/>
        <v>47000</v>
      </c>
      <c r="V15" s="66">
        <f t="shared" si="5"/>
        <v>72000</v>
      </c>
      <c r="W15" s="63">
        <f>E15+G15+K15</f>
        <v>40000</v>
      </c>
      <c r="X15" s="66"/>
      <c r="Y15" s="305"/>
      <c r="Z15" s="296">
        <v>47000</v>
      </c>
      <c r="AA15" s="68">
        <v>80000</v>
      </c>
    </row>
    <row r="16" spans="1:27" s="310" customFormat="1">
      <c r="A16" s="236">
        <f t="shared" si="0"/>
        <v>75</v>
      </c>
      <c r="B16" s="299" t="s">
        <v>164</v>
      </c>
      <c r="C16" s="306"/>
      <c r="D16" s="306"/>
      <c r="E16" s="306"/>
      <c r="F16" s="306"/>
      <c r="G16" s="306"/>
      <c r="H16" s="306"/>
      <c r="I16" s="306"/>
      <c r="J16" s="306"/>
      <c r="K16" s="63">
        <f t="shared" si="6"/>
        <v>0</v>
      </c>
      <c r="L16" s="307"/>
      <c r="M16" s="77"/>
      <c r="N16" s="77">
        <f t="shared" si="1"/>
        <v>0</v>
      </c>
      <c r="O16" s="307"/>
      <c r="P16" s="301">
        <f t="shared" si="2"/>
        <v>0</v>
      </c>
      <c r="Q16" s="308"/>
      <c r="R16" s="308"/>
      <c r="S16" s="308"/>
      <c r="T16" s="66">
        <f t="shared" si="3"/>
        <v>0</v>
      </c>
      <c r="U16" s="66">
        <f t="shared" si="4"/>
        <v>0</v>
      </c>
      <c r="V16" s="66">
        <f t="shared" si="5"/>
        <v>0</v>
      </c>
      <c r="W16" s="63"/>
      <c r="X16" s="66"/>
      <c r="Y16" s="309"/>
      <c r="Z16" s="296">
        <v>0</v>
      </c>
      <c r="AA16" s="68">
        <v>0</v>
      </c>
    </row>
    <row r="17" spans="1:27">
      <c r="A17" s="236">
        <f t="shared" si="0"/>
        <v>76</v>
      </c>
      <c r="B17" s="299" t="s">
        <v>164</v>
      </c>
      <c r="K17" s="63">
        <f t="shared" si="6"/>
        <v>0</v>
      </c>
      <c r="L17" s="301"/>
      <c r="M17" s="77"/>
      <c r="N17" s="77">
        <f t="shared" si="1"/>
        <v>0</v>
      </c>
      <c r="O17" s="301"/>
      <c r="P17" s="301">
        <f t="shared" si="2"/>
        <v>0</v>
      </c>
      <c r="Q17" s="293"/>
      <c r="R17" s="293"/>
      <c r="S17" s="293"/>
      <c r="T17" s="66">
        <f t="shared" si="3"/>
        <v>0</v>
      </c>
      <c r="U17" s="66">
        <f t="shared" si="4"/>
        <v>0</v>
      </c>
      <c r="V17" s="66">
        <f t="shared" si="5"/>
        <v>0</v>
      </c>
      <c r="W17" s="63"/>
      <c r="X17" s="66"/>
      <c r="Y17" s="295"/>
      <c r="Z17" s="296">
        <v>0</v>
      </c>
      <c r="AA17" s="68">
        <v>0</v>
      </c>
    </row>
    <row r="18" spans="1:27">
      <c r="A18" s="236">
        <f t="shared" si="0"/>
        <v>77</v>
      </c>
      <c r="B18" s="237" t="s">
        <v>164</v>
      </c>
      <c r="K18" s="63">
        <f t="shared" si="6"/>
        <v>0</v>
      </c>
      <c r="L18" s="301"/>
      <c r="M18" s="77"/>
      <c r="N18" s="77">
        <f t="shared" si="1"/>
        <v>0</v>
      </c>
      <c r="O18" s="301"/>
      <c r="P18" s="301">
        <f t="shared" si="2"/>
        <v>0</v>
      </c>
      <c r="Q18" s="293"/>
      <c r="R18" s="293"/>
      <c r="S18" s="293"/>
      <c r="T18" s="66">
        <f t="shared" si="3"/>
        <v>0</v>
      </c>
      <c r="U18" s="66">
        <f t="shared" si="4"/>
        <v>0</v>
      </c>
      <c r="V18" s="66">
        <f t="shared" si="5"/>
        <v>0</v>
      </c>
      <c r="W18" s="63"/>
      <c r="X18" s="66"/>
      <c r="Y18" s="295"/>
      <c r="Z18" s="296">
        <v>0</v>
      </c>
      <c r="AA18" s="68">
        <v>0</v>
      </c>
    </row>
    <row r="19" spans="1:27" ht="28.5">
      <c r="A19" s="236">
        <f t="shared" si="0"/>
        <v>78</v>
      </c>
      <c r="B19" s="303" t="s">
        <v>211</v>
      </c>
      <c r="C19" s="63">
        <v>150000</v>
      </c>
      <c r="D19" s="63">
        <v>50000</v>
      </c>
      <c r="E19" s="63">
        <f>4012+2081</f>
        <v>6093</v>
      </c>
      <c r="F19" s="63">
        <v>20000</v>
      </c>
      <c r="G19" s="63">
        <v>20000</v>
      </c>
      <c r="H19" s="63" t="s">
        <v>212</v>
      </c>
      <c r="I19" s="63"/>
      <c r="J19" s="63">
        <v>13000</v>
      </c>
      <c r="K19" s="63">
        <f t="shared" si="6"/>
        <v>13000</v>
      </c>
      <c r="L19" s="77"/>
      <c r="M19" s="77">
        <v>15000</v>
      </c>
      <c r="N19" s="77">
        <f t="shared" si="1"/>
        <v>15000</v>
      </c>
      <c r="O19" s="77" t="s">
        <v>213</v>
      </c>
      <c r="P19" s="301">
        <f t="shared" si="2"/>
        <v>15000</v>
      </c>
      <c r="Q19" s="311">
        <v>15000</v>
      </c>
      <c r="R19" s="311"/>
      <c r="S19" s="311">
        <v>15000</v>
      </c>
      <c r="T19" s="66">
        <f t="shared" si="3"/>
        <v>15000</v>
      </c>
      <c r="U19" s="66">
        <f t="shared" si="4"/>
        <v>30000</v>
      </c>
      <c r="V19" s="66">
        <f t="shared" si="5"/>
        <v>45000</v>
      </c>
      <c r="W19" s="63">
        <f>E19+G19+K19</f>
        <v>39093</v>
      </c>
      <c r="X19" s="66"/>
      <c r="Y19" s="295" t="s">
        <v>214</v>
      </c>
      <c r="Z19" s="296">
        <v>40000</v>
      </c>
      <c r="AA19" s="68">
        <v>50000</v>
      </c>
    </row>
    <row r="20" spans="1:27">
      <c r="A20" s="236">
        <f t="shared" si="0"/>
        <v>79</v>
      </c>
      <c r="B20" s="237" t="s">
        <v>164</v>
      </c>
      <c r="C20" s="300">
        <v>60000</v>
      </c>
      <c r="D20" s="63">
        <v>25000</v>
      </c>
      <c r="E20" s="63">
        <v>0</v>
      </c>
      <c r="F20" s="63">
        <v>12500</v>
      </c>
      <c r="G20" s="63">
        <v>0</v>
      </c>
      <c r="H20" s="63"/>
      <c r="I20" s="63"/>
      <c r="J20" s="63">
        <v>12500</v>
      </c>
      <c r="K20" s="63">
        <f t="shared" si="6"/>
        <v>12500</v>
      </c>
      <c r="L20" s="77"/>
      <c r="M20" s="77"/>
      <c r="N20" s="77">
        <f t="shared" si="1"/>
        <v>0</v>
      </c>
      <c r="O20" s="312"/>
      <c r="P20" s="301">
        <f t="shared" si="2"/>
        <v>0</v>
      </c>
      <c r="Q20" s="293"/>
      <c r="R20" s="293"/>
      <c r="S20" s="293"/>
      <c r="T20" s="66">
        <f t="shared" si="3"/>
        <v>0</v>
      </c>
      <c r="U20" s="66">
        <f t="shared" si="4"/>
        <v>0</v>
      </c>
      <c r="V20" s="66">
        <f t="shared" si="5"/>
        <v>0</v>
      </c>
      <c r="W20" s="63"/>
      <c r="X20" s="66"/>
      <c r="Y20" s="295"/>
      <c r="Z20" s="296">
        <v>0</v>
      </c>
      <c r="AA20" s="68">
        <v>25000</v>
      </c>
    </row>
    <row r="21" spans="1:27">
      <c r="A21" s="236">
        <v>80</v>
      </c>
      <c r="B21" s="237"/>
      <c r="K21" s="63">
        <f t="shared" si="6"/>
        <v>0</v>
      </c>
      <c r="L21" s="301"/>
      <c r="M21" s="77"/>
      <c r="N21" s="77">
        <f t="shared" si="1"/>
        <v>0</v>
      </c>
      <c r="O21" s="301"/>
      <c r="P21" s="301">
        <f t="shared" si="2"/>
        <v>0</v>
      </c>
      <c r="Q21" s="293"/>
      <c r="R21" s="293"/>
      <c r="S21" s="293"/>
      <c r="T21" s="66">
        <f t="shared" si="3"/>
        <v>0</v>
      </c>
      <c r="U21" s="66">
        <f t="shared" si="4"/>
        <v>0</v>
      </c>
      <c r="V21" s="66">
        <f t="shared" si="5"/>
        <v>0</v>
      </c>
      <c r="W21" s="63"/>
      <c r="X21" s="66"/>
      <c r="Y21" s="295"/>
      <c r="Z21" s="296">
        <v>0</v>
      </c>
      <c r="AA21" s="68">
        <v>0</v>
      </c>
    </row>
    <row r="22" spans="1:27">
      <c r="A22" s="236" t="s">
        <v>215</v>
      </c>
      <c r="B22" s="237" t="s">
        <v>188</v>
      </c>
      <c r="K22" s="63">
        <f>I24</f>
        <v>7000</v>
      </c>
      <c r="L22" s="301"/>
      <c r="M22" s="77"/>
      <c r="N22" s="77">
        <f t="shared" si="1"/>
        <v>0</v>
      </c>
      <c r="O22" s="301"/>
      <c r="P22" s="301">
        <f t="shared" si="2"/>
        <v>0</v>
      </c>
      <c r="Q22" s="293"/>
      <c r="R22" s="293"/>
      <c r="S22" s="293"/>
      <c r="T22" s="66">
        <f t="shared" si="3"/>
        <v>0</v>
      </c>
      <c r="U22" s="66">
        <f t="shared" si="4"/>
        <v>0</v>
      </c>
      <c r="V22" s="66">
        <f t="shared" si="5"/>
        <v>0</v>
      </c>
      <c r="W22" s="63">
        <f>E22+G22+K22</f>
        <v>7000</v>
      </c>
      <c r="X22" s="66"/>
      <c r="Y22" s="295"/>
      <c r="Z22" s="296">
        <v>0</v>
      </c>
      <c r="AA22" s="68"/>
    </row>
    <row r="23" spans="1:27">
      <c r="A23" s="236">
        <f>A13+1</f>
        <v>81</v>
      </c>
      <c r="B23" s="303" t="s">
        <v>216</v>
      </c>
      <c r="C23" s="300">
        <v>30000</v>
      </c>
      <c r="D23" s="63">
        <v>0</v>
      </c>
      <c r="E23" s="63"/>
      <c r="F23" s="63"/>
      <c r="G23" s="63"/>
      <c r="H23" s="63"/>
      <c r="I23" s="63"/>
      <c r="J23" s="63"/>
      <c r="K23" s="63">
        <f t="shared" si="6"/>
        <v>0</v>
      </c>
      <c r="L23" s="77"/>
      <c r="M23" s="77"/>
      <c r="N23" s="77">
        <f t="shared" si="1"/>
        <v>0</v>
      </c>
      <c r="O23" s="301"/>
      <c r="P23" s="301">
        <f t="shared" si="2"/>
        <v>0</v>
      </c>
      <c r="Q23" s="293"/>
      <c r="R23" s="293"/>
      <c r="S23" s="293"/>
      <c r="T23" s="66">
        <f t="shared" si="3"/>
        <v>0</v>
      </c>
      <c r="U23" s="66">
        <f t="shared" si="4"/>
        <v>0</v>
      </c>
      <c r="V23" s="66">
        <f t="shared" si="5"/>
        <v>0</v>
      </c>
      <c r="W23" s="63"/>
      <c r="X23" s="66"/>
      <c r="Y23" s="295"/>
      <c r="Z23" s="296">
        <v>0</v>
      </c>
      <c r="AA23" s="68">
        <v>0</v>
      </c>
    </row>
    <row r="24" spans="1:27">
      <c r="A24" s="313">
        <f t="shared" si="0"/>
        <v>82</v>
      </c>
      <c r="B24" s="314" t="s">
        <v>217</v>
      </c>
      <c r="C24" s="315">
        <f>SUM(C6:C23)</f>
        <v>839000</v>
      </c>
      <c r="D24" s="315">
        <f t="shared" ref="D24:N24" si="7">SUM(D9:D23)</f>
        <v>465000</v>
      </c>
      <c r="E24" s="315">
        <f t="shared" si="7"/>
        <v>90174</v>
      </c>
      <c r="F24" s="315">
        <f t="shared" si="7"/>
        <v>173000</v>
      </c>
      <c r="G24" s="315">
        <f t="shared" si="7"/>
        <v>117000</v>
      </c>
      <c r="H24" s="315">
        <f t="shared" si="7"/>
        <v>0</v>
      </c>
      <c r="I24" s="315">
        <f t="shared" si="7"/>
        <v>7000</v>
      </c>
      <c r="J24" s="315">
        <f t="shared" si="7"/>
        <v>203500</v>
      </c>
      <c r="K24" s="315">
        <f t="shared" si="7"/>
        <v>210500</v>
      </c>
      <c r="L24" s="316">
        <f t="shared" si="7"/>
        <v>7000</v>
      </c>
      <c r="M24" s="316">
        <f t="shared" si="7"/>
        <v>115000</v>
      </c>
      <c r="N24" s="316">
        <f t="shared" si="7"/>
        <v>122000</v>
      </c>
      <c r="O24" s="316"/>
      <c r="P24" s="316">
        <f t="shared" si="2"/>
        <v>122000</v>
      </c>
      <c r="Q24" s="317">
        <f t="shared" ref="Q24:S24" si="8">SUM(Q9:Q23)</f>
        <v>117000</v>
      </c>
      <c r="R24" s="317">
        <f t="shared" si="8"/>
        <v>7000</v>
      </c>
      <c r="S24" s="317">
        <f t="shared" si="8"/>
        <v>117000</v>
      </c>
      <c r="T24" s="317">
        <f t="shared" si="3"/>
        <v>124000</v>
      </c>
      <c r="U24" s="317">
        <f t="shared" si="4"/>
        <v>241000</v>
      </c>
      <c r="V24" s="317">
        <f t="shared" si="5"/>
        <v>363000</v>
      </c>
      <c r="W24" s="315">
        <f t="shared" ref="W24:W34" si="9">E24+G24+K24</f>
        <v>417674</v>
      </c>
      <c r="X24" s="317"/>
      <c r="Y24" s="317"/>
      <c r="Z24" s="318">
        <v>251000</v>
      </c>
      <c r="AA24" s="319">
        <v>465000</v>
      </c>
    </row>
    <row r="25" spans="1:27" s="310" customFormat="1">
      <c r="A25" s="236">
        <f t="shared" si="0"/>
        <v>83</v>
      </c>
      <c r="B25" s="237"/>
      <c r="C25" s="63"/>
      <c r="D25" s="63"/>
      <c r="E25" s="63"/>
      <c r="F25" s="63"/>
      <c r="G25" s="63"/>
      <c r="H25" s="63"/>
      <c r="I25" s="63"/>
      <c r="J25" s="63"/>
      <c r="K25" s="63"/>
      <c r="L25" s="77"/>
      <c r="M25" s="77"/>
      <c r="N25" s="77">
        <f t="shared" si="1"/>
        <v>0</v>
      </c>
      <c r="O25" s="77"/>
      <c r="P25" s="77">
        <f t="shared" si="2"/>
        <v>0</v>
      </c>
      <c r="Q25" s="308"/>
      <c r="R25" s="308"/>
      <c r="S25" s="308"/>
      <c r="T25" s="308">
        <f t="shared" si="3"/>
        <v>0</v>
      </c>
      <c r="U25" s="308">
        <f t="shared" si="4"/>
        <v>0</v>
      </c>
      <c r="V25" s="320">
        <f t="shared" si="5"/>
        <v>0</v>
      </c>
      <c r="W25" s="71">
        <f t="shared" si="9"/>
        <v>0</v>
      </c>
      <c r="X25" s="308"/>
      <c r="Y25" s="309"/>
      <c r="Z25" s="296"/>
      <c r="AA25" s="321"/>
    </row>
    <row r="26" spans="1:27" ht="31.5" customHeight="1">
      <c r="A26" s="236">
        <v>84</v>
      </c>
      <c r="B26" s="237" t="s">
        <v>218</v>
      </c>
      <c r="C26" s="71">
        <v>2000000</v>
      </c>
      <c r="D26" s="71">
        <v>750000</v>
      </c>
      <c r="E26" s="71">
        <v>238345</v>
      </c>
      <c r="F26" s="71">
        <v>200000</v>
      </c>
      <c r="G26" s="71">
        <v>300000</v>
      </c>
      <c r="H26" s="322" t="s">
        <v>219</v>
      </c>
      <c r="I26" s="71"/>
      <c r="J26" s="71">
        <v>150000</v>
      </c>
      <c r="K26" s="71">
        <f>J26</f>
        <v>150000</v>
      </c>
      <c r="L26" s="323"/>
      <c r="M26" s="323">
        <v>100000</v>
      </c>
      <c r="N26" s="323">
        <f t="shared" si="1"/>
        <v>100000</v>
      </c>
      <c r="O26" s="323" t="s">
        <v>220</v>
      </c>
      <c r="P26" s="323">
        <f t="shared" si="2"/>
        <v>100000</v>
      </c>
      <c r="Q26" s="293"/>
      <c r="R26" s="293"/>
      <c r="S26" s="293"/>
      <c r="T26" s="66">
        <f t="shared" si="3"/>
        <v>0</v>
      </c>
      <c r="U26" s="66">
        <f t="shared" si="4"/>
        <v>0</v>
      </c>
      <c r="V26" s="66">
        <f t="shared" si="5"/>
        <v>100000</v>
      </c>
      <c r="W26" s="71">
        <f t="shared" si="9"/>
        <v>688345</v>
      </c>
      <c r="X26" s="66"/>
      <c r="Y26" s="295" t="s">
        <v>221</v>
      </c>
      <c r="Z26" s="324">
        <v>0</v>
      </c>
      <c r="AA26" s="68">
        <v>750000</v>
      </c>
    </row>
    <row r="27" spans="1:27">
      <c r="A27" s="236">
        <v>85</v>
      </c>
      <c r="B27" s="303" t="s">
        <v>222</v>
      </c>
      <c r="C27" s="71"/>
      <c r="D27" s="71"/>
      <c r="E27" s="71"/>
      <c r="F27" s="71"/>
      <c r="G27" s="71"/>
      <c r="H27" s="71"/>
      <c r="I27" s="71"/>
      <c r="J27" s="71"/>
      <c r="K27" s="71">
        <f t="shared" ref="K27:K44" si="10">J27</f>
        <v>0</v>
      </c>
      <c r="L27" s="323"/>
      <c r="M27" s="323">
        <v>200000</v>
      </c>
      <c r="N27" s="323">
        <f t="shared" si="1"/>
        <v>200000</v>
      </c>
      <c r="O27" s="323"/>
      <c r="P27" s="323">
        <v>200000</v>
      </c>
      <c r="Q27" s="325">
        <v>125000</v>
      </c>
      <c r="R27" s="293"/>
      <c r="S27" s="304">
        <v>75000</v>
      </c>
      <c r="T27" s="66">
        <f t="shared" si="3"/>
        <v>75000</v>
      </c>
      <c r="U27" s="66">
        <f t="shared" si="4"/>
        <v>200000</v>
      </c>
      <c r="V27" s="66">
        <f t="shared" si="5"/>
        <v>400000</v>
      </c>
      <c r="W27" s="71">
        <f t="shared" si="9"/>
        <v>0</v>
      </c>
      <c r="X27" s="66"/>
      <c r="Y27" s="326" t="s">
        <v>223</v>
      </c>
      <c r="Z27" s="324">
        <v>300000</v>
      </c>
      <c r="AA27" s="68">
        <v>0</v>
      </c>
    </row>
    <row r="28" spans="1:27" ht="28.5">
      <c r="A28" s="236">
        <f>A27+1</f>
        <v>86</v>
      </c>
      <c r="B28" s="303" t="s">
        <v>224</v>
      </c>
      <c r="C28" s="71"/>
      <c r="D28" s="71">
        <v>0</v>
      </c>
      <c r="E28" s="71">
        <v>55931</v>
      </c>
      <c r="F28" s="71"/>
      <c r="G28" s="71"/>
      <c r="H28" s="71"/>
      <c r="I28" s="71"/>
      <c r="J28" s="71"/>
      <c r="K28" s="71">
        <f t="shared" si="10"/>
        <v>0</v>
      </c>
      <c r="L28" s="323"/>
      <c r="M28" s="323"/>
      <c r="N28" s="323">
        <f t="shared" si="1"/>
        <v>0</v>
      </c>
      <c r="O28" s="323"/>
      <c r="P28" s="323">
        <v>50000</v>
      </c>
      <c r="Q28" s="293"/>
      <c r="R28" s="293"/>
      <c r="S28" s="293">
        <v>50000</v>
      </c>
      <c r="T28" s="66">
        <f t="shared" si="3"/>
        <v>50000</v>
      </c>
      <c r="U28" s="66">
        <f t="shared" si="4"/>
        <v>50000</v>
      </c>
      <c r="V28" s="66">
        <f t="shared" si="5"/>
        <v>100000</v>
      </c>
      <c r="W28" s="71">
        <f t="shared" si="9"/>
        <v>55931</v>
      </c>
      <c r="X28" s="66"/>
      <c r="Y28" s="326"/>
      <c r="Z28" s="324">
        <v>50000</v>
      </c>
      <c r="AA28" s="68">
        <v>0</v>
      </c>
    </row>
    <row r="29" spans="1:27">
      <c r="A29" s="236">
        <f t="shared" si="0"/>
        <v>87</v>
      </c>
      <c r="B29" s="303" t="s">
        <v>225</v>
      </c>
      <c r="C29" s="71"/>
      <c r="D29" s="71">
        <v>20000</v>
      </c>
      <c r="E29" s="71">
        <v>7003</v>
      </c>
      <c r="F29" s="71">
        <v>20000</v>
      </c>
      <c r="G29" s="71">
        <v>25000</v>
      </c>
      <c r="H29" s="71" t="s">
        <v>226</v>
      </c>
      <c r="I29" s="71">
        <v>5000</v>
      </c>
      <c r="J29" s="71">
        <v>5000</v>
      </c>
      <c r="K29" s="71">
        <f t="shared" si="10"/>
        <v>5000</v>
      </c>
      <c r="L29" s="323">
        <v>5000</v>
      </c>
      <c r="M29" s="323">
        <v>30000</v>
      </c>
      <c r="N29" s="323">
        <f t="shared" si="1"/>
        <v>35000</v>
      </c>
      <c r="O29" s="327" t="s">
        <v>227</v>
      </c>
      <c r="P29" s="323">
        <f t="shared" ref="P29:P92" si="11">N29</f>
        <v>35000</v>
      </c>
      <c r="Q29" s="293">
        <v>70000</v>
      </c>
      <c r="R29" s="293">
        <v>10000</v>
      </c>
      <c r="S29" s="293">
        <v>30000</v>
      </c>
      <c r="T29" s="66">
        <f t="shared" si="3"/>
        <v>40000</v>
      </c>
      <c r="U29" s="66">
        <f t="shared" si="4"/>
        <v>110000</v>
      </c>
      <c r="V29" s="66">
        <f t="shared" si="5"/>
        <v>145000</v>
      </c>
      <c r="W29" s="71">
        <f t="shared" si="9"/>
        <v>37003</v>
      </c>
      <c r="X29" s="66"/>
      <c r="Y29" s="326" t="s">
        <v>228</v>
      </c>
      <c r="Z29" s="324">
        <v>110000</v>
      </c>
      <c r="AA29" s="68">
        <v>20000</v>
      </c>
    </row>
    <row r="30" spans="1:27" ht="35.950000000000003" customHeight="1">
      <c r="A30" s="236">
        <f t="shared" si="0"/>
        <v>88</v>
      </c>
      <c r="B30" s="237" t="s">
        <v>229</v>
      </c>
      <c r="C30" s="71"/>
      <c r="D30" s="71">
        <v>60000</v>
      </c>
      <c r="E30" s="71">
        <f>28597+9366</f>
        <v>37963</v>
      </c>
      <c r="F30" s="71">
        <v>25000</v>
      </c>
      <c r="G30" s="71">
        <v>25000</v>
      </c>
      <c r="H30" s="71" t="s">
        <v>230</v>
      </c>
      <c r="I30" s="71"/>
      <c r="J30" s="71">
        <v>25000</v>
      </c>
      <c r="K30" s="71">
        <f t="shared" si="10"/>
        <v>25000</v>
      </c>
      <c r="L30" s="323"/>
      <c r="M30" s="323">
        <v>70000</v>
      </c>
      <c r="N30" s="323">
        <f t="shared" si="1"/>
        <v>70000</v>
      </c>
      <c r="O30" s="323" t="s">
        <v>231</v>
      </c>
      <c r="P30" s="323">
        <f t="shared" si="11"/>
        <v>70000</v>
      </c>
      <c r="Q30" s="293">
        <v>90000</v>
      </c>
      <c r="R30" s="293"/>
      <c r="S30" s="293">
        <v>90000</v>
      </c>
      <c r="T30" s="66">
        <f t="shared" si="3"/>
        <v>90000</v>
      </c>
      <c r="U30" s="66">
        <f t="shared" si="4"/>
        <v>180000</v>
      </c>
      <c r="V30" s="66">
        <f t="shared" si="5"/>
        <v>250000</v>
      </c>
      <c r="W30" s="71">
        <f t="shared" si="9"/>
        <v>87963</v>
      </c>
      <c r="X30" s="66"/>
      <c r="Y30" s="326" t="s">
        <v>232</v>
      </c>
      <c r="Z30" s="324">
        <v>180000</v>
      </c>
      <c r="AA30" s="68">
        <v>60000</v>
      </c>
    </row>
    <row r="31" spans="1:27">
      <c r="A31" s="236" t="s">
        <v>233</v>
      </c>
      <c r="B31" s="237" t="s">
        <v>188</v>
      </c>
      <c r="C31" s="71"/>
      <c r="D31" s="71"/>
      <c r="E31" s="71"/>
      <c r="F31" s="71"/>
      <c r="G31" s="71"/>
      <c r="H31" s="71"/>
      <c r="I31" s="71"/>
      <c r="J31" s="71"/>
      <c r="K31" s="71">
        <f t="shared" si="10"/>
        <v>0</v>
      </c>
      <c r="L31" s="323"/>
      <c r="M31" s="323"/>
      <c r="N31" s="323">
        <f t="shared" si="1"/>
        <v>0</v>
      </c>
      <c r="O31" s="323"/>
      <c r="P31" s="323">
        <f t="shared" si="11"/>
        <v>0</v>
      </c>
      <c r="Q31" s="293"/>
      <c r="R31" s="293"/>
      <c r="S31" s="293"/>
      <c r="T31" s="66">
        <f t="shared" si="3"/>
        <v>0</v>
      </c>
      <c r="U31" s="66">
        <f t="shared" si="4"/>
        <v>0</v>
      </c>
      <c r="V31" s="66">
        <f t="shared" si="5"/>
        <v>0</v>
      </c>
      <c r="W31" s="71">
        <f t="shared" si="9"/>
        <v>0</v>
      </c>
      <c r="X31" s="66"/>
      <c r="Y31" s="326"/>
      <c r="Z31" s="324">
        <v>0</v>
      </c>
      <c r="AA31" s="68"/>
    </row>
    <row r="32" spans="1:27" ht="55.5" customHeight="1">
      <c r="A32" s="236">
        <f>A30+1</f>
        <v>89</v>
      </c>
      <c r="B32" s="303" t="s">
        <v>234</v>
      </c>
      <c r="C32" s="71"/>
      <c r="D32" s="71">
        <v>45000</v>
      </c>
      <c r="E32" s="71">
        <f>2252</f>
        <v>2252</v>
      </c>
      <c r="F32" s="71">
        <v>15000</v>
      </c>
      <c r="G32" s="71">
        <v>15000</v>
      </c>
      <c r="H32" s="328" t="s">
        <v>235</v>
      </c>
      <c r="I32" s="71"/>
      <c r="J32" s="71">
        <v>10000</v>
      </c>
      <c r="K32" s="71">
        <f t="shared" si="10"/>
        <v>10000</v>
      </c>
      <c r="L32" s="323"/>
      <c r="M32" s="323">
        <v>0</v>
      </c>
      <c r="N32" s="323">
        <f t="shared" si="1"/>
        <v>0</v>
      </c>
      <c r="O32" s="323"/>
      <c r="P32" s="323">
        <f t="shared" si="11"/>
        <v>0</v>
      </c>
      <c r="Q32" s="304">
        <v>60000</v>
      </c>
      <c r="R32" s="304"/>
      <c r="S32" s="304">
        <v>60000</v>
      </c>
      <c r="T32" s="66">
        <f t="shared" si="3"/>
        <v>60000</v>
      </c>
      <c r="U32" s="66">
        <f t="shared" si="4"/>
        <v>120000</v>
      </c>
      <c r="V32" s="66">
        <f t="shared" si="5"/>
        <v>120000</v>
      </c>
      <c r="W32" s="71">
        <f t="shared" si="9"/>
        <v>27252</v>
      </c>
      <c r="X32" s="66"/>
      <c r="Y32" s="329" t="s">
        <v>236</v>
      </c>
      <c r="Z32" s="324">
        <v>120000</v>
      </c>
      <c r="AA32" s="68">
        <v>55000</v>
      </c>
    </row>
    <row r="33" spans="1:27">
      <c r="A33" s="236">
        <f t="shared" si="0"/>
        <v>90</v>
      </c>
      <c r="B33" s="303" t="s">
        <v>237</v>
      </c>
      <c r="C33" s="71"/>
      <c r="D33" s="71">
        <v>0</v>
      </c>
      <c r="E33" s="71"/>
      <c r="F33" s="71"/>
      <c r="G33" s="71"/>
      <c r="H33" s="71"/>
      <c r="I33" s="71"/>
      <c r="J33" s="71"/>
      <c r="K33" s="71">
        <f t="shared" si="10"/>
        <v>0</v>
      </c>
      <c r="L33" s="323"/>
      <c r="M33" s="323">
        <v>50000</v>
      </c>
      <c r="N33" s="323">
        <f t="shared" si="1"/>
        <v>50000</v>
      </c>
      <c r="O33" s="323" t="s">
        <v>238</v>
      </c>
      <c r="P33" s="323">
        <f t="shared" si="11"/>
        <v>50000</v>
      </c>
      <c r="Q33" s="293">
        <v>50000</v>
      </c>
      <c r="R33" s="293"/>
      <c r="S33" s="293">
        <v>50000</v>
      </c>
      <c r="T33" s="66">
        <f t="shared" si="3"/>
        <v>50000</v>
      </c>
      <c r="U33" s="66">
        <f t="shared" si="4"/>
        <v>100000</v>
      </c>
      <c r="V33" s="66">
        <f t="shared" si="5"/>
        <v>150000</v>
      </c>
      <c r="W33" s="71">
        <f t="shared" si="9"/>
        <v>0</v>
      </c>
      <c r="X33" s="66"/>
      <c r="Y33" s="330" t="s">
        <v>239</v>
      </c>
      <c r="Z33" s="324">
        <v>100000</v>
      </c>
      <c r="AA33" s="68">
        <v>0</v>
      </c>
    </row>
    <row r="34" spans="1:27" ht="28.5">
      <c r="A34" s="236">
        <f t="shared" si="0"/>
        <v>91</v>
      </c>
      <c r="B34" s="303" t="s">
        <v>240</v>
      </c>
      <c r="C34" s="71"/>
      <c r="D34" s="71">
        <v>20000</v>
      </c>
      <c r="E34" s="71">
        <v>7500</v>
      </c>
      <c r="F34" s="71">
        <v>5000</v>
      </c>
      <c r="G34" s="71">
        <v>5000</v>
      </c>
      <c r="H34" s="71" t="s">
        <v>241</v>
      </c>
      <c r="I34" s="71">
        <v>3000</v>
      </c>
      <c r="J34" s="71">
        <v>10000</v>
      </c>
      <c r="K34" s="71">
        <f t="shared" si="10"/>
        <v>10000</v>
      </c>
      <c r="L34" s="323">
        <v>3000</v>
      </c>
      <c r="M34" s="323">
        <v>10000</v>
      </c>
      <c r="N34" s="323">
        <f t="shared" si="1"/>
        <v>13000</v>
      </c>
      <c r="O34" s="323" t="s">
        <v>242</v>
      </c>
      <c r="P34" s="323">
        <f t="shared" si="11"/>
        <v>13000</v>
      </c>
      <c r="Q34" s="293">
        <v>10000</v>
      </c>
      <c r="R34" s="293">
        <v>5000</v>
      </c>
      <c r="S34" s="293">
        <v>10000</v>
      </c>
      <c r="T34" s="66">
        <f t="shared" si="3"/>
        <v>15000</v>
      </c>
      <c r="U34" s="66">
        <f t="shared" si="4"/>
        <v>25000</v>
      </c>
      <c r="V34" s="66">
        <f t="shared" si="5"/>
        <v>38000</v>
      </c>
      <c r="W34" s="71">
        <f t="shared" si="9"/>
        <v>22500</v>
      </c>
      <c r="X34" s="66"/>
      <c r="Y34" s="331" t="s">
        <v>243</v>
      </c>
      <c r="Z34" s="324">
        <v>25000</v>
      </c>
      <c r="AA34" s="68">
        <v>20000</v>
      </c>
    </row>
    <row r="35" spans="1:27" ht="16.899999999999999" customHeight="1">
      <c r="A35" s="236">
        <f t="shared" si="0"/>
        <v>92</v>
      </c>
      <c r="B35" s="237" t="s">
        <v>244</v>
      </c>
      <c r="C35" s="71"/>
      <c r="D35" s="71">
        <v>40000</v>
      </c>
      <c r="E35" s="71">
        <v>0</v>
      </c>
      <c r="F35" s="71">
        <v>20000</v>
      </c>
      <c r="G35" s="71">
        <v>5000</v>
      </c>
      <c r="H35" s="322" t="s">
        <v>245</v>
      </c>
      <c r="I35" s="71"/>
      <c r="J35" s="71">
        <v>0</v>
      </c>
      <c r="K35" s="71">
        <f t="shared" si="10"/>
        <v>0</v>
      </c>
      <c r="L35" s="323"/>
      <c r="M35" s="323"/>
      <c r="N35" s="323">
        <f t="shared" si="1"/>
        <v>0</v>
      </c>
      <c r="O35" s="323"/>
      <c r="P35" s="323">
        <f t="shared" si="11"/>
        <v>0</v>
      </c>
      <c r="Q35" s="293"/>
      <c r="R35" s="293"/>
      <c r="S35" s="293"/>
      <c r="T35" s="66">
        <f t="shared" si="3"/>
        <v>0</v>
      </c>
      <c r="U35" s="66">
        <f t="shared" si="4"/>
        <v>0</v>
      </c>
      <c r="V35" s="66">
        <f t="shared" si="5"/>
        <v>0</v>
      </c>
      <c r="W35" s="71"/>
      <c r="X35" s="66"/>
      <c r="Y35" s="295"/>
      <c r="Z35" s="324">
        <v>0</v>
      </c>
      <c r="AA35" s="68">
        <v>40000</v>
      </c>
    </row>
    <row r="36" spans="1:27">
      <c r="A36" s="236">
        <f t="shared" si="0"/>
        <v>93</v>
      </c>
      <c r="B36" s="237" t="s">
        <v>164</v>
      </c>
      <c r="C36" s="71"/>
      <c r="D36" s="71">
        <v>10000</v>
      </c>
      <c r="E36" s="71"/>
      <c r="F36" s="71"/>
      <c r="G36" s="71"/>
      <c r="H36" s="71"/>
      <c r="I36" s="71"/>
      <c r="J36" s="71"/>
      <c r="K36" s="71">
        <f t="shared" si="10"/>
        <v>0</v>
      </c>
      <c r="L36" s="323"/>
      <c r="M36" s="323"/>
      <c r="N36" s="323">
        <f t="shared" si="1"/>
        <v>0</v>
      </c>
      <c r="O36" s="332"/>
      <c r="P36" s="323">
        <f t="shared" si="11"/>
        <v>0</v>
      </c>
      <c r="Q36" s="293"/>
      <c r="R36" s="293"/>
      <c r="S36" s="293"/>
      <c r="T36" s="66">
        <f t="shared" si="3"/>
        <v>0</v>
      </c>
      <c r="U36" s="66">
        <f t="shared" si="4"/>
        <v>0</v>
      </c>
      <c r="V36" s="66">
        <f t="shared" si="5"/>
        <v>0</v>
      </c>
      <c r="W36" s="71">
        <f t="shared" ref="W36:W45" si="12">E36+G36+K36</f>
        <v>0</v>
      </c>
      <c r="X36" s="66"/>
      <c r="Y36" s="295"/>
      <c r="Z36" s="324">
        <v>0</v>
      </c>
      <c r="AA36" s="68">
        <v>0</v>
      </c>
    </row>
    <row r="37" spans="1:27" ht="30" customHeight="1">
      <c r="A37" s="236">
        <f t="shared" si="0"/>
        <v>94</v>
      </c>
      <c r="B37" s="303" t="s">
        <v>246</v>
      </c>
      <c r="C37" s="71"/>
      <c r="D37" s="71">
        <v>170000</v>
      </c>
      <c r="E37" s="71">
        <f>34488+17974</f>
        <v>52462</v>
      </c>
      <c r="F37" s="71">
        <v>60000</v>
      </c>
      <c r="G37" s="71">
        <v>32000</v>
      </c>
      <c r="H37" s="71" t="s">
        <v>247</v>
      </c>
      <c r="I37" s="71">
        <v>10000</v>
      </c>
      <c r="J37" s="71">
        <v>45000</v>
      </c>
      <c r="K37" s="71">
        <f t="shared" si="10"/>
        <v>45000</v>
      </c>
      <c r="L37" s="323">
        <v>10000</v>
      </c>
      <c r="M37" s="323">
        <v>45000</v>
      </c>
      <c r="N37" s="323">
        <f t="shared" si="1"/>
        <v>55000</v>
      </c>
      <c r="O37" s="332"/>
      <c r="P37" s="323">
        <f t="shared" si="11"/>
        <v>55000</v>
      </c>
      <c r="Q37" s="304">
        <v>32500</v>
      </c>
      <c r="R37" s="304">
        <v>5000</v>
      </c>
      <c r="S37" s="304">
        <v>32500</v>
      </c>
      <c r="T37" s="66">
        <f t="shared" si="3"/>
        <v>37500</v>
      </c>
      <c r="U37" s="66">
        <f t="shared" si="4"/>
        <v>70000</v>
      </c>
      <c r="V37" s="66">
        <f t="shared" si="5"/>
        <v>125000</v>
      </c>
      <c r="W37" s="71">
        <f t="shared" si="12"/>
        <v>129462</v>
      </c>
      <c r="X37" s="66"/>
      <c r="Y37" s="295" t="s">
        <v>248</v>
      </c>
      <c r="Z37" s="324">
        <v>75000</v>
      </c>
      <c r="AA37" s="68">
        <v>170000</v>
      </c>
    </row>
    <row r="38" spans="1:27">
      <c r="A38" s="236">
        <f t="shared" si="0"/>
        <v>95</v>
      </c>
      <c r="B38" s="303" t="s">
        <v>249</v>
      </c>
      <c r="C38" s="333"/>
      <c r="D38" s="333">
        <v>0</v>
      </c>
      <c r="E38" s="333"/>
      <c r="F38" s="333"/>
      <c r="G38" s="333"/>
      <c r="H38" s="333" t="s">
        <v>250</v>
      </c>
      <c r="I38" s="333"/>
      <c r="J38" s="333"/>
      <c r="K38" s="333">
        <f t="shared" si="10"/>
        <v>0</v>
      </c>
      <c r="L38" s="333"/>
      <c r="M38" s="333"/>
      <c r="N38" s="333">
        <f t="shared" si="1"/>
        <v>0</v>
      </c>
      <c r="O38" s="334"/>
      <c r="P38" s="333">
        <f t="shared" si="11"/>
        <v>0</v>
      </c>
      <c r="Q38" s="304">
        <v>0</v>
      </c>
      <c r="R38" s="335"/>
      <c r="S38" s="304">
        <v>0</v>
      </c>
      <c r="T38" s="68">
        <f t="shared" si="3"/>
        <v>0</v>
      </c>
      <c r="U38" s="68">
        <f t="shared" si="4"/>
        <v>0</v>
      </c>
      <c r="V38" s="68">
        <f t="shared" si="5"/>
        <v>0</v>
      </c>
      <c r="W38" s="333">
        <f t="shared" si="12"/>
        <v>0</v>
      </c>
      <c r="X38" s="68"/>
      <c r="Y38" s="336"/>
      <c r="Z38" s="333">
        <v>0</v>
      </c>
      <c r="AA38" s="68">
        <v>0</v>
      </c>
    </row>
    <row r="39" spans="1:27" ht="55.5" customHeight="1">
      <c r="A39" s="236">
        <f t="shared" si="0"/>
        <v>96</v>
      </c>
      <c r="B39" s="303" t="s">
        <v>251</v>
      </c>
      <c r="C39" s="71"/>
      <c r="D39" s="71">
        <v>130000</v>
      </c>
      <c r="E39" s="71">
        <v>34150</v>
      </c>
      <c r="F39" s="71">
        <v>55000</v>
      </c>
      <c r="G39" s="71">
        <v>55000</v>
      </c>
      <c r="H39" s="71" t="s">
        <v>252</v>
      </c>
      <c r="I39" s="71">
        <v>5000</v>
      </c>
      <c r="J39" s="71">
        <v>45000</v>
      </c>
      <c r="K39" s="71">
        <f t="shared" si="10"/>
        <v>45000</v>
      </c>
      <c r="L39" s="323">
        <v>5000</v>
      </c>
      <c r="M39" s="323">
        <v>50000</v>
      </c>
      <c r="N39" s="323">
        <f t="shared" si="1"/>
        <v>55000</v>
      </c>
      <c r="O39" s="337" t="s">
        <v>253</v>
      </c>
      <c r="P39" s="323">
        <f t="shared" si="11"/>
        <v>55000</v>
      </c>
      <c r="Q39" s="304">
        <v>16000</v>
      </c>
      <c r="R39" s="293">
        <v>5000</v>
      </c>
      <c r="S39" s="304">
        <v>16000</v>
      </c>
      <c r="T39" s="66">
        <f t="shared" si="3"/>
        <v>21000</v>
      </c>
      <c r="U39" s="66">
        <f t="shared" si="4"/>
        <v>37000</v>
      </c>
      <c r="V39" s="66">
        <f t="shared" si="5"/>
        <v>92000</v>
      </c>
      <c r="W39" s="71">
        <f t="shared" si="12"/>
        <v>134150</v>
      </c>
      <c r="X39" s="66"/>
      <c r="Y39" s="331" t="s">
        <v>254</v>
      </c>
      <c r="Z39" s="324">
        <v>37000</v>
      </c>
      <c r="AA39" s="68">
        <v>130000</v>
      </c>
    </row>
    <row r="40" spans="1:27">
      <c r="A40" s="236">
        <f t="shared" si="0"/>
        <v>97</v>
      </c>
      <c r="B40" s="237" t="s">
        <v>164</v>
      </c>
      <c r="C40" s="71"/>
      <c r="D40" s="71">
        <v>0</v>
      </c>
      <c r="E40" s="71"/>
      <c r="F40" s="71"/>
      <c r="G40" s="71"/>
      <c r="H40" s="71"/>
      <c r="I40" s="71"/>
      <c r="J40" s="71"/>
      <c r="K40" s="71">
        <f t="shared" si="10"/>
        <v>0</v>
      </c>
      <c r="L40" s="323"/>
      <c r="M40" s="323"/>
      <c r="N40" s="323">
        <f t="shared" si="1"/>
        <v>0</v>
      </c>
      <c r="O40" s="323"/>
      <c r="P40" s="323">
        <f t="shared" si="11"/>
        <v>0</v>
      </c>
      <c r="Q40" s="293"/>
      <c r="R40" s="293"/>
      <c r="S40" s="293"/>
      <c r="T40" s="66">
        <f t="shared" si="3"/>
        <v>0</v>
      </c>
      <c r="U40" s="66">
        <f t="shared" si="4"/>
        <v>0</v>
      </c>
      <c r="V40" s="66">
        <f t="shared" si="5"/>
        <v>0</v>
      </c>
      <c r="W40" s="71">
        <f t="shared" si="12"/>
        <v>0</v>
      </c>
      <c r="X40" s="66"/>
      <c r="Y40" s="295"/>
      <c r="Z40" s="324">
        <v>0</v>
      </c>
      <c r="AA40" s="68">
        <v>0</v>
      </c>
    </row>
    <row r="41" spans="1:27" ht="22.9" customHeight="1">
      <c r="A41" s="236">
        <f t="shared" si="0"/>
        <v>98</v>
      </c>
      <c r="B41" s="237" t="s">
        <v>255</v>
      </c>
      <c r="C41" s="71"/>
      <c r="D41" s="71">
        <v>55000</v>
      </c>
      <c r="E41" s="71">
        <v>23896</v>
      </c>
      <c r="F41" s="71">
        <v>20000</v>
      </c>
      <c r="G41" s="71">
        <v>12000</v>
      </c>
      <c r="H41" s="71" t="s">
        <v>256</v>
      </c>
      <c r="I41" s="71">
        <v>1000</v>
      </c>
      <c r="J41" s="71">
        <v>16000</v>
      </c>
      <c r="K41" s="71">
        <f t="shared" si="10"/>
        <v>16000</v>
      </c>
      <c r="L41" s="323">
        <v>1000</v>
      </c>
      <c r="M41" s="323">
        <v>10000</v>
      </c>
      <c r="N41" s="323">
        <f t="shared" si="1"/>
        <v>11000</v>
      </c>
      <c r="O41" s="323"/>
      <c r="P41" s="323">
        <f t="shared" si="11"/>
        <v>11000</v>
      </c>
      <c r="Q41" s="304">
        <v>18000</v>
      </c>
      <c r="R41" s="304">
        <v>1000</v>
      </c>
      <c r="S41" s="304">
        <v>18000</v>
      </c>
      <c r="T41" s="66">
        <f t="shared" si="3"/>
        <v>19000</v>
      </c>
      <c r="U41" s="66">
        <f t="shared" si="4"/>
        <v>37000</v>
      </c>
      <c r="V41" s="66">
        <f t="shared" si="5"/>
        <v>48000</v>
      </c>
      <c r="W41" s="71">
        <f t="shared" si="12"/>
        <v>51896</v>
      </c>
      <c r="X41" s="66"/>
      <c r="Y41" s="295"/>
      <c r="Z41" s="324">
        <v>37000</v>
      </c>
      <c r="AA41" s="68">
        <v>55000</v>
      </c>
    </row>
    <row r="42" spans="1:27" ht="35.950000000000003" customHeight="1">
      <c r="A42" s="236">
        <f t="shared" si="0"/>
        <v>99</v>
      </c>
      <c r="B42" s="237" t="s">
        <v>164</v>
      </c>
      <c r="C42" s="71"/>
      <c r="D42" s="71">
        <v>20000</v>
      </c>
      <c r="E42" s="71"/>
      <c r="F42" s="71"/>
      <c r="G42" s="71"/>
      <c r="H42" s="71" t="s">
        <v>257</v>
      </c>
      <c r="I42" s="71"/>
      <c r="J42" s="71"/>
      <c r="K42" s="71">
        <f t="shared" si="10"/>
        <v>0</v>
      </c>
      <c r="L42" s="323"/>
      <c r="M42" s="323"/>
      <c r="N42" s="323">
        <f t="shared" si="1"/>
        <v>0</v>
      </c>
      <c r="O42" s="338"/>
      <c r="P42" s="323">
        <f t="shared" si="11"/>
        <v>0</v>
      </c>
      <c r="Q42" s="293"/>
      <c r="R42" s="293"/>
      <c r="S42" s="293"/>
      <c r="T42" s="66">
        <f t="shared" si="3"/>
        <v>0</v>
      </c>
      <c r="U42" s="66">
        <f t="shared" si="4"/>
        <v>0</v>
      </c>
      <c r="V42" s="66">
        <f t="shared" si="5"/>
        <v>0</v>
      </c>
      <c r="W42" s="71">
        <f t="shared" si="12"/>
        <v>0</v>
      </c>
      <c r="X42" s="66"/>
      <c r="Y42" s="295"/>
      <c r="Z42" s="324">
        <v>0</v>
      </c>
      <c r="AA42" s="68">
        <v>0</v>
      </c>
    </row>
    <row r="43" spans="1:27">
      <c r="A43" s="236" t="s">
        <v>258</v>
      </c>
      <c r="B43" s="237" t="s">
        <v>188</v>
      </c>
      <c r="C43" s="71"/>
      <c r="D43" s="71"/>
      <c r="E43" s="71"/>
      <c r="F43" s="71"/>
      <c r="G43" s="71"/>
      <c r="H43" s="71"/>
      <c r="I43" s="71"/>
      <c r="J43" s="71"/>
      <c r="K43" s="71">
        <f>I45</f>
        <v>24000</v>
      </c>
      <c r="L43" s="323"/>
      <c r="M43" s="323"/>
      <c r="N43" s="323">
        <f t="shared" si="1"/>
        <v>0</v>
      </c>
      <c r="O43" s="338"/>
      <c r="P43" s="323">
        <f t="shared" si="11"/>
        <v>0</v>
      </c>
      <c r="Q43" s="293"/>
      <c r="R43" s="293"/>
      <c r="S43" s="293"/>
      <c r="T43" s="66">
        <f t="shared" si="3"/>
        <v>0</v>
      </c>
      <c r="U43" s="66">
        <f t="shared" si="4"/>
        <v>0</v>
      </c>
      <c r="V43" s="66">
        <f t="shared" si="5"/>
        <v>0</v>
      </c>
      <c r="W43" s="71">
        <f t="shared" si="12"/>
        <v>24000</v>
      </c>
      <c r="X43" s="66"/>
      <c r="Y43" s="295"/>
      <c r="Z43" s="324">
        <v>0</v>
      </c>
      <c r="AA43" s="68"/>
    </row>
    <row r="44" spans="1:27" ht="28.5">
      <c r="A44" s="236">
        <f>A42+1</f>
        <v>100</v>
      </c>
      <c r="B44" s="299" t="s">
        <v>190</v>
      </c>
      <c r="C44" s="71">
        <v>0</v>
      </c>
      <c r="D44" s="71">
        <v>1446038.4313201474</v>
      </c>
      <c r="E44" s="71">
        <v>343274</v>
      </c>
      <c r="F44" s="71">
        <f>'[3]Salary Summary 19 for 2019-2021'!L34</f>
        <v>478180.429670727</v>
      </c>
      <c r="G44" s="71">
        <f>F44</f>
        <v>478180.429670727</v>
      </c>
      <c r="H44" s="71" t="s">
        <v>259</v>
      </c>
      <c r="I44" s="71"/>
      <c r="J44" s="71">
        <f>'[3]Salary Summary 20 for 2019-2021'!P34</f>
        <v>441951.82943613187</v>
      </c>
      <c r="K44" s="71">
        <f t="shared" si="10"/>
        <v>441951.82943613187</v>
      </c>
      <c r="L44" s="323"/>
      <c r="M44" s="323">
        <f>'Salary Summary 21 for 2022-2024'!M35-50000</f>
        <v>404432.39463108458</v>
      </c>
      <c r="N44" s="323">
        <f t="shared" si="1"/>
        <v>404432.39463108458</v>
      </c>
      <c r="O44" s="77" t="s">
        <v>260</v>
      </c>
      <c r="P44" s="323">
        <f t="shared" si="11"/>
        <v>404432.39463108458</v>
      </c>
      <c r="Q44" s="339">
        <f>'Salary Summary 21 for 2022-2024'!Q35</f>
        <v>467993.62986928353</v>
      </c>
      <c r="R44" s="293"/>
      <c r="S44" s="339">
        <f>'Salary Summary 21 for 2022-2024'!U35</f>
        <v>482965.49699342408</v>
      </c>
      <c r="T44" s="66">
        <f t="shared" si="3"/>
        <v>482965.49699342408</v>
      </c>
      <c r="U44" s="66">
        <f t="shared" si="4"/>
        <v>950959.12686270755</v>
      </c>
      <c r="V44" s="66">
        <f t="shared" si="5"/>
        <v>1355391.5214937921</v>
      </c>
      <c r="W44" s="71">
        <f t="shared" si="12"/>
        <v>1263406.2591068589</v>
      </c>
      <c r="X44" s="66"/>
      <c r="Y44" s="295"/>
      <c r="Z44" s="324">
        <v>950959.12686270755</v>
      </c>
      <c r="AA44" s="68">
        <v>1440079.0351797449</v>
      </c>
    </row>
    <row r="45" spans="1:27">
      <c r="A45" s="313">
        <f t="shared" si="0"/>
        <v>101</v>
      </c>
      <c r="B45" s="340" t="s">
        <v>261</v>
      </c>
      <c r="C45" s="142">
        <f>SUM(C26:C44)</f>
        <v>2000000</v>
      </c>
      <c r="D45" s="142">
        <f t="shared" ref="D45:N45" si="13">SUM(D26:D44)</f>
        <v>2766038.4313201476</v>
      </c>
      <c r="E45" s="142">
        <f t="shared" si="13"/>
        <v>802776</v>
      </c>
      <c r="F45" s="142">
        <f t="shared" si="13"/>
        <v>898180.429670727</v>
      </c>
      <c r="G45" s="142">
        <f t="shared" si="13"/>
        <v>952180.429670727</v>
      </c>
      <c r="H45" s="142">
        <f t="shared" si="13"/>
        <v>0</v>
      </c>
      <c r="I45" s="142">
        <f t="shared" si="13"/>
        <v>24000</v>
      </c>
      <c r="J45" s="142">
        <f t="shared" si="13"/>
        <v>747951.82943613187</v>
      </c>
      <c r="K45" s="142">
        <f t="shared" si="13"/>
        <v>771951.82943613187</v>
      </c>
      <c r="L45" s="341">
        <f t="shared" si="13"/>
        <v>24000</v>
      </c>
      <c r="M45" s="341">
        <f t="shared" si="13"/>
        <v>969432.39463108452</v>
      </c>
      <c r="N45" s="341">
        <f t="shared" si="13"/>
        <v>993432.39463108452</v>
      </c>
      <c r="O45" s="341"/>
      <c r="P45" s="341">
        <f t="shared" si="11"/>
        <v>993432.39463108452</v>
      </c>
      <c r="Q45" s="342">
        <f t="shared" ref="Q45:S45" si="14">SUM(Q26:Q44)</f>
        <v>939493.62986928353</v>
      </c>
      <c r="R45" s="342">
        <f t="shared" si="14"/>
        <v>26000</v>
      </c>
      <c r="S45" s="342">
        <f t="shared" si="14"/>
        <v>914465.49699342414</v>
      </c>
      <c r="T45" s="342">
        <f t="shared" si="3"/>
        <v>940465.49699342414</v>
      </c>
      <c r="U45" s="342">
        <f t="shared" si="4"/>
        <v>1879959.1268627075</v>
      </c>
      <c r="V45" s="342">
        <f t="shared" si="5"/>
        <v>2873391.5214937921</v>
      </c>
      <c r="W45" s="142">
        <f t="shared" si="12"/>
        <v>2526908.2591068586</v>
      </c>
      <c r="X45" s="342"/>
      <c r="Y45" s="342">
        <v>0</v>
      </c>
      <c r="Z45" s="343">
        <v>1984959.1268627075</v>
      </c>
      <c r="AA45" s="344">
        <v>2740079.0351797449</v>
      </c>
    </row>
    <row r="46" spans="1:27">
      <c r="A46" s="236">
        <f t="shared" si="0"/>
        <v>102</v>
      </c>
      <c r="C46" s="63"/>
      <c r="D46" s="63"/>
      <c r="E46" s="63"/>
      <c r="F46" s="63"/>
      <c r="G46" s="63"/>
      <c r="H46" s="63" t="s">
        <v>262</v>
      </c>
      <c r="I46" s="63"/>
      <c r="J46" s="63"/>
      <c r="K46" s="63"/>
      <c r="L46" s="77"/>
      <c r="M46" s="77"/>
      <c r="N46" s="77">
        <f t="shared" si="1"/>
        <v>0</v>
      </c>
      <c r="O46" s="77"/>
      <c r="P46" s="77">
        <f t="shared" si="11"/>
        <v>0</v>
      </c>
      <c r="Q46" s="293"/>
      <c r="R46" s="293"/>
      <c r="S46" s="293"/>
      <c r="T46" s="293">
        <f t="shared" si="3"/>
        <v>0</v>
      </c>
      <c r="U46" s="293">
        <f t="shared" si="4"/>
        <v>0</v>
      </c>
      <c r="V46" s="294">
        <f t="shared" si="5"/>
        <v>0</v>
      </c>
      <c r="W46" s="63"/>
      <c r="X46" s="293"/>
      <c r="Y46" s="295"/>
      <c r="Z46" s="296"/>
      <c r="AA46" s="297"/>
    </row>
    <row r="47" spans="1:27">
      <c r="A47" s="291">
        <f t="shared" si="0"/>
        <v>103</v>
      </c>
      <c r="B47" s="345" t="s">
        <v>263</v>
      </c>
      <c r="C47" s="238"/>
      <c r="D47" s="238"/>
      <c r="E47" s="238"/>
      <c r="F47" s="238"/>
      <c r="G47" s="238"/>
      <c r="H47" s="238"/>
      <c r="I47" s="238"/>
      <c r="J47" s="238"/>
      <c r="K47" s="238"/>
      <c r="L47" s="239"/>
      <c r="M47" s="239"/>
      <c r="N47" s="239">
        <f t="shared" si="1"/>
        <v>0</v>
      </c>
      <c r="O47" s="301"/>
      <c r="P47" s="239">
        <f t="shared" si="11"/>
        <v>0</v>
      </c>
      <c r="Q47" s="293"/>
      <c r="R47" s="293"/>
      <c r="S47" s="293"/>
      <c r="T47" s="293">
        <f t="shared" si="3"/>
        <v>0</v>
      </c>
      <c r="U47" s="293">
        <f t="shared" si="4"/>
        <v>0</v>
      </c>
      <c r="V47" s="294">
        <f t="shared" si="5"/>
        <v>0</v>
      </c>
      <c r="W47" s="71">
        <f>E47+G47+K47</f>
        <v>0</v>
      </c>
      <c r="X47" s="293"/>
      <c r="Y47" s="295"/>
      <c r="Z47" s="346"/>
      <c r="AA47" s="297"/>
    </row>
    <row r="48" spans="1:27" s="310" customFormat="1">
      <c r="A48" s="291">
        <f t="shared" si="0"/>
        <v>104</v>
      </c>
      <c r="B48" s="345" t="s">
        <v>264</v>
      </c>
      <c r="C48" s="238"/>
      <c r="D48" s="238"/>
      <c r="E48" s="238"/>
      <c r="F48" s="238"/>
      <c r="G48" s="238"/>
      <c r="H48" s="238"/>
      <c r="I48" s="238"/>
      <c r="J48" s="238"/>
      <c r="K48" s="238"/>
      <c r="L48" s="239"/>
      <c r="M48" s="239"/>
      <c r="N48" s="239">
        <f t="shared" si="1"/>
        <v>0</v>
      </c>
      <c r="O48" s="301"/>
      <c r="P48" s="239">
        <f t="shared" si="11"/>
        <v>0</v>
      </c>
      <c r="Q48" s="308"/>
      <c r="R48" s="308"/>
      <c r="S48" s="308"/>
      <c r="T48" s="308">
        <f t="shared" si="3"/>
        <v>0</v>
      </c>
      <c r="U48" s="308">
        <f t="shared" si="4"/>
        <v>0</v>
      </c>
      <c r="V48" s="320">
        <f t="shared" si="5"/>
        <v>0</v>
      </c>
      <c r="W48" s="71">
        <f>E48+G48+K48</f>
        <v>0</v>
      </c>
      <c r="X48" s="308"/>
      <c r="Y48" s="309"/>
      <c r="Z48" s="346"/>
      <c r="AA48" s="321"/>
    </row>
    <row r="49" spans="1:27" ht="49.5" customHeight="1">
      <c r="A49" s="236">
        <f t="shared" si="0"/>
        <v>105</v>
      </c>
      <c r="B49" s="303" t="s">
        <v>265</v>
      </c>
      <c r="C49" s="238"/>
      <c r="D49" s="347">
        <v>80000</v>
      </c>
      <c r="E49" s="348"/>
      <c r="F49" s="347">
        <v>30000</v>
      </c>
      <c r="G49" s="347">
        <v>10000</v>
      </c>
      <c r="H49" s="349" t="s">
        <v>266</v>
      </c>
      <c r="I49" s="347"/>
      <c r="J49" s="347">
        <v>32500</v>
      </c>
      <c r="K49" s="347">
        <f>J49</f>
        <v>32500</v>
      </c>
      <c r="L49" s="350"/>
      <c r="M49" s="350">
        <v>40000</v>
      </c>
      <c r="N49" s="350">
        <f t="shared" si="1"/>
        <v>40000</v>
      </c>
      <c r="O49" s="351" t="s">
        <v>267</v>
      </c>
      <c r="P49" s="350">
        <f t="shared" si="11"/>
        <v>40000</v>
      </c>
      <c r="Q49" s="304">
        <v>22500</v>
      </c>
      <c r="R49" s="293"/>
      <c r="S49" s="304">
        <v>22500</v>
      </c>
      <c r="T49" s="66">
        <f t="shared" si="3"/>
        <v>22500</v>
      </c>
      <c r="U49" s="66">
        <f t="shared" si="4"/>
        <v>45000</v>
      </c>
      <c r="V49" s="66">
        <f t="shared" si="5"/>
        <v>85000</v>
      </c>
      <c r="W49" s="347"/>
      <c r="X49" s="66"/>
      <c r="Y49" s="295" t="s">
        <v>267</v>
      </c>
      <c r="Z49" s="352">
        <v>45000</v>
      </c>
      <c r="AA49" s="68">
        <v>80000</v>
      </c>
    </row>
    <row r="50" spans="1:27">
      <c r="A50" s="236">
        <f t="shared" si="0"/>
        <v>106</v>
      </c>
      <c r="B50" s="353" t="s">
        <v>268</v>
      </c>
      <c r="C50" s="238"/>
      <c r="D50" s="347">
        <v>80000</v>
      </c>
      <c r="E50" s="348"/>
      <c r="F50" s="347">
        <v>32500</v>
      </c>
      <c r="G50" s="347">
        <v>85000</v>
      </c>
      <c r="H50" s="347" t="s">
        <v>269</v>
      </c>
      <c r="I50" s="347"/>
      <c r="J50" s="347">
        <f>SUM(J46:J49)</f>
        <v>32500</v>
      </c>
      <c r="K50" s="347">
        <f t="shared" ref="K50:K54" si="15">J50</f>
        <v>32500</v>
      </c>
      <c r="L50" s="350"/>
      <c r="M50" s="350">
        <v>36666</v>
      </c>
      <c r="N50" s="350">
        <f t="shared" si="1"/>
        <v>36666</v>
      </c>
      <c r="O50" s="354"/>
      <c r="P50" s="350">
        <f t="shared" si="11"/>
        <v>36666</v>
      </c>
      <c r="Q50" s="293">
        <v>50000</v>
      </c>
      <c r="R50" s="293"/>
      <c r="S50" s="293">
        <v>50000</v>
      </c>
      <c r="T50" s="66">
        <f t="shared" si="3"/>
        <v>50000</v>
      </c>
      <c r="U50" s="66">
        <f t="shared" si="4"/>
        <v>100000</v>
      </c>
      <c r="V50" s="66">
        <f t="shared" si="5"/>
        <v>136666</v>
      </c>
      <c r="W50" s="347"/>
      <c r="X50" s="66"/>
      <c r="Y50" s="295"/>
      <c r="Z50" s="352">
        <v>100000</v>
      </c>
      <c r="AA50" s="68">
        <v>80000</v>
      </c>
    </row>
    <row r="51" spans="1:27">
      <c r="A51" s="236">
        <f t="shared" si="0"/>
        <v>107</v>
      </c>
      <c r="B51" s="237" t="s">
        <v>270</v>
      </c>
      <c r="C51" s="238"/>
      <c r="D51" s="347">
        <v>30000</v>
      </c>
      <c r="E51" s="348"/>
      <c r="F51" s="347"/>
      <c r="G51" s="347"/>
      <c r="H51" s="347"/>
      <c r="I51" s="347"/>
      <c r="J51" s="347">
        <v>15000</v>
      </c>
      <c r="K51" s="347">
        <f t="shared" si="15"/>
        <v>15000</v>
      </c>
      <c r="L51" s="350"/>
      <c r="M51" s="350">
        <v>10000</v>
      </c>
      <c r="N51" s="350">
        <f t="shared" si="1"/>
        <v>10000</v>
      </c>
      <c r="O51" s="354"/>
      <c r="P51" s="350">
        <f t="shared" si="11"/>
        <v>10000</v>
      </c>
      <c r="Q51" s="293">
        <v>15000</v>
      </c>
      <c r="R51" s="293"/>
      <c r="S51" s="293"/>
      <c r="T51" s="66">
        <f t="shared" si="3"/>
        <v>0</v>
      </c>
      <c r="U51" s="66">
        <f t="shared" si="4"/>
        <v>15000</v>
      </c>
      <c r="V51" s="66">
        <f t="shared" si="5"/>
        <v>25000</v>
      </c>
      <c r="W51" s="347"/>
      <c r="X51" s="66"/>
      <c r="Y51" s="295"/>
      <c r="Z51" s="352">
        <v>15000</v>
      </c>
      <c r="AA51" s="68">
        <v>30000</v>
      </c>
    </row>
    <row r="52" spans="1:27" ht="28.5">
      <c r="A52" s="236">
        <f t="shared" si="0"/>
        <v>108</v>
      </c>
      <c r="B52" s="353" t="s">
        <v>271</v>
      </c>
      <c r="C52" s="238"/>
      <c r="D52" s="347">
        <v>25000</v>
      </c>
      <c r="E52" s="348"/>
      <c r="F52" s="347"/>
      <c r="G52" s="347"/>
      <c r="H52" s="347"/>
      <c r="I52" s="347"/>
      <c r="J52" s="347"/>
      <c r="K52" s="347">
        <f t="shared" si="15"/>
        <v>0</v>
      </c>
      <c r="L52" s="350"/>
      <c r="M52" s="350">
        <v>8333</v>
      </c>
      <c r="N52" s="350">
        <f t="shared" si="1"/>
        <v>8333</v>
      </c>
      <c r="O52" s="354"/>
      <c r="P52" s="350">
        <f t="shared" si="11"/>
        <v>8333</v>
      </c>
      <c r="Q52" s="304">
        <v>5000</v>
      </c>
      <c r="R52" s="293"/>
      <c r="S52" s="304">
        <v>5000</v>
      </c>
      <c r="T52" s="66">
        <f t="shared" si="3"/>
        <v>5000</v>
      </c>
      <c r="U52" s="66">
        <f t="shared" si="4"/>
        <v>10000</v>
      </c>
      <c r="V52" s="66">
        <f t="shared" si="5"/>
        <v>18333</v>
      </c>
      <c r="W52" s="347"/>
      <c r="X52" s="66"/>
      <c r="Y52" s="295" t="s">
        <v>272</v>
      </c>
      <c r="Z52" s="352">
        <v>10000</v>
      </c>
      <c r="AA52" s="68">
        <v>25000</v>
      </c>
    </row>
    <row r="53" spans="1:27">
      <c r="A53" s="236">
        <f t="shared" si="0"/>
        <v>109</v>
      </c>
      <c r="B53" s="353" t="s">
        <v>273</v>
      </c>
      <c r="C53" s="238"/>
      <c r="D53" s="347">
        <v>98750</v>
      </c>
      <c r="E53" s="348"/>
      <c r="F53" s="347">
        <v>32917</v>
      </c>
      <c r="G53" s="347">
        <v>15000</v>
      </c>
      <c r="H53" s="347" t="s">
        <v>274</v>
      </c>
      <c r="I53" s="347">
        <v>20288</v>
      </c>
      <c r="J53" s="347">
        <v>12628</v>
      </c>
      <c r="K53" s="347">
        <f t="shared" si="15"/>
        <v>12628</v>
      </c>
      <c r="L53" s="350">
        <v>20288</v>
      </c>
      <c r="M53" s="350">
        <v>17628</v>
      </c>
      <c r="N53" s="350">
        <f t="shared" si="1"/>
        <v>37916</v>
      </c>
      <c r="O53" s="354" t="s">
        <v>275</v>
      </c>
      <c r="P53" s="350">
        <f t="shared" si="11"/>
        <v>37916</v>
      </c>
      <c r="Q53" s="304">
        <v>12000</v>
      </c>
      <c r="R53" s="293">
        <v>20000</v>
      </c>
      <c r="S53" s="304">
        <v>12000</v>
      </c>
      <c r="T53" s="66">
        <f t="shared" si="3"/>
        <v>32000</v>
      </c>
      <c r="U53" s="66">
        <f t="shared" si="4"/>
        <v>44000</v>
      </c>
      <c r="V53" s="66">
        <f t="shared" si="5"/>
        <v>81916</v>
      </c>
      <c r="W53" s="347"/>
      <c r="X53" s="66"/>
      <c r="Y53" s="295" t="s">
        <v>275</v>
      </c>
      <c r="Z53" s="352">
        <v>44000</v>
      </c>
      <c r="AA53" s="68">
        <v>98750</v>
      </c>
    </row>
    <row r="54" spans="1:27" ht="15.75">
      <c r="A54" s="236">
        <f t="shared" si="0"/>
        <v>110</v>
      </c>
      <c r="B54" s="355" t="s">
        <v>276</v>
      </c>
      <c r="C54" s="238"/>
      <c r="D54" s="347">
        <v>80000</v>
      </c>
      <c r="E54" s="348"/>
      <c r="F54" s="347">
        <v>26667</v>
      </c>
      <c r="G54" s="347">
        <v>17085</v>
      </c>
      <c r="H54" s="347" t="s">
        <v>177</v>
      </c>
      <c r="I54" s="347">
        <v>10000</v>
      </c>
      <c r="J54" s="347">
        <v>16666</v>
      </c>
      <c r="K54" s="347">
        <f t="shared" si="15"/>
        <v>16666</v>
      </c>
      <c r="L54" s="350">
        <v>10000</v>
      </c>
      <c r="M54" s="350">
        <v>30000</v>
      </c>
      <c r="N54" s="350">
        <f t="shared" si="1"/>
        <v>40000</v>
      </c>
      <c r="O54" s="356" t="s">
        <v>277</v>
      </c>
      <c r="P54" s="350">
        <f t="shared" si="11"/>
        <v>40000</v>
      </c>
      <c r="Q54" s="293">
        <v>35000</v>
      </c>
      <c r="R54" s="293">
        <v>10000</v>
      </c>
      <c r="S54" s="293">
        <v>35000</v>
      </c>
      <c r="T54" s="66">
        <f t="shared" si="3"/>
        <v>45000</v>
      </c>
      <c r="U54" s="66">
        <f t="shared" si="4"/>
        <v>80000</v>
      </c>
      <c r="V54" s="66">
        <f t="shared" si="5"/>
        <v>120000</v>
      </c>
      <c r="W54" s="347"/>
      <c r="X54" s="66"/>
      <c r="Y54" s="295" t="s">
        <v>278</v>
      </c>
      <c r="Z54" s="352">
        <v>80000</v>
      </c>
      <c r="AA54" s="68">
        <v>80000</v>
      </c>
    </row>
    <row r="55" spans="1:27">
      <c r="A55" s="236" t="s">
        <v>279</v>
      </c>
      <c r="B55" s="237" t="s">
        <v>280</v>
      </c>
      <c r="C55" s="238"/>
      <c r="D55" s="347">
        <v>30000</v>
      </c>
      <c r="E55" s="347"/>
      <c r="F55" s="347"/>
      <c r="G55" s="347"/>
      <c r="H55" s="347"/>
      <c r="I55" s="347"/>
      <c r="J55" s="347"/>
      <c r="K55" s="347"/>
      <c r="L55" s="350"/>
      <c r="M55" s="350">
        <v>10000</v>
      </c>
      <c r="N55" s="350">
        <f t="shared" si="1"/>
        <v>10000</v>
      </c>
      <c r="O55" s="301"/>
      <c r="P55" s="350">
        <f t="shared" si="11"/>
        <v>10000</v>
      </c>
      <c r="Q55" s="304">
        <v>5000</v>
      </c>
      <c r="R55" s="293"/>
      <c r="S55" s="304">
        <v>5000</v>
      </c>
      <c r="T55" s="66">
        <f t="shared" si="3"/>
        <v>5000</v>
      </c>
      <c r="U55" s="66">
        <f t="shared" si="4"/>
        <v>10000</v>
      </c>
      <c r="V55" s="66">
        <f t="shared" si="5"/>
        <v>20000</v>
      </c>
      <c r="W55" s="347"/>
      <c r="X55" s="66"/>
      <c r="Y55" s="295"/>
      <c r="Z55" s="352">
        <v>10000</v>
      </c>
      <c r="AA55" s="68">
        <v>30000</v>
      </c>
    </row>
    <row r="56" spans="1:27">
      <c r="A56" s="236" t="s">
        <v>281</v>
      </c>
      <c r="B56" s="237" t="s">
        <v>188</v>
      </c>
      <c r="C56" s="238"/>
      <c r="D56" s="347"/>
      <c r="E56" s="347">
        <v>0</v>
      </c>
      <c r="F56" s="347"/>
      <c r="G56" s="347">
        <v>0</v>
      </c>
      <c r="H56" s="347"/>
      <c r="I56" s="347">
        <v>0</v>
      </c>
      <c r="J56" s="347">
        <v>0</v>
      </c>
      <c r="K56" s="347">
        <f>I57</f>
        <v>30288</v>
      </c>
      <c r="L56" s="350">
        <v>0</v>
      </c>
      <c r="M56" s="350"/>
      <c r="N56" s="350">
        <f t="shared" si="1"/>
        <v>0</v>
      </c>
      <c r="O56" s="301"/>
      <c r="P56" s="350">
        <f t="shared" si="11"/>
        <v>0</v>
      </c>
      <c r="Q56" s="293"/>
      <c r="R56" s="293"/>
      <c r="S56" s="293"/>
      <c r="T56" s="66">
        <f t="shared" si="3"/>
        <v>0</v>
      </c>
      <c r="U56" s="66">
        <f t="shared" si="4"/>
        <v>0</v>
      </c>
      <c r="V56" s="66">
        <f t="shared" si="5"/>
        <v>0</v>
      </c>
      <c r="W56" s="347"/>
      <c r="X56" s="66"/>
      <c r="Y56" s="295"/>
      <c r="Z56" s="352">
        <v>0</v>
      </c>
      <c r="AA56" s="68"/>
    </row>
    <row r="57" spans="1:27" ht="20.95" customHeight="1">
      <c r="A57" s="357">
        <v>112</v>
      </c>
      <c r="B57" s="358" t="s">
        <v>282</v>
      </c>
      <c r="C57" s="359">
        <f>546000+30000</f>
        <v>576000</v>
      </c>
      <c r="D57" s="359">
        <v>423750</v>
      </c>
      <c r="E57" s="359">
        <v>187575</v>
      </c>
      <c r="F57" s="359">
        <f>SUM(F49:F55)</f>
        <v>122084</v>
      </c>
      <c r="G57" s="359">
        <f>SUM(G49:G55)</f>
        <v>127085</v>
      </c>
      <c r="H57" s="360" t="s">
        <v>283</v>
      </c>
      <c r="I57" s="359">
        <f t="shared" ref="I57:M57" si="16">SUM(I49:I56)</f>
        <v>30288</v>
      </c>
      <c r="J57" s="359">
        <f t="shared" si="16"/>
        <v>109294</v>
      </c>
      <c r="K57" s="359">
        <f t="shared" si="16"/>
        <v>139582</v>
      </c>
      <c r="L57" s="361">
        <f t="shared" si="16"/>
        <v>30288</v>
      </c>
      <c r="M57" s="361">
        <f t="shared" si="16"/>
        <v>152627</v>
      </c>
      <c r="N57" s="361">
        <f>SUM(N49:N56)</f>
        <v>182915</v>
      </c>
      <c r="O57" s="361"/>
      <c r="P57" s="361">
        <f t="shared" si="11"/>
        <v>182915</v>
      </c>
      <c r="Q57" s="362">
        <f t="shared" ref="Q57:S57" si="17">SUM(Q49:Q56)</f>
        <v>144500</v>
      </c>
      <c r="R57" s="362">
        <f t="shared" si="17"/>
        <v>30000</v>
      </c>
      <c r="S57" s="362">
        <f t="shared" si="17"/>
        <v>129500</v>
      </c>
      <c r="T57" s="362">
        <f t="shared" si="3"/>
        <v>159500</v>
      </c>
      <c r="U57" s="362">
        <f t="shared" si="4"/>
        <v>304000</v>
      </c>
      <c r="V57" s="362">
        <f t="shared" si="5"/>
        <v>486915</v>
      </c>
      <c r="W57" s="359">
        <f>E57+G57+K57</f>
        <v>454242</v>
      </c>
      <c r="X57" s="362"/>
      <c r="Y57" s="363">
        <v>0</v>
      </c>
      <c r="Z57" s="364">
        <v>304000</v>
      </c>
      <c r="AA57" s="365">
        <v>423750</v>
      </c>
    </row>
    <row r="58" spans="1:27">
      <c r="A58" s="236">
        <f t="shared" si="0"/>
        <v>113</v>
      </c>
      <c r="B58" s="237"/>
      <c r="C58" s="238"/>
      <c r="D58" s="62"/>
      <c r="E58" s="62"/>
      <c r="F58" s="62"/>
      <c r="G58" s="62"/>
      <c r="H58" s="62"/>
      <c r="I58" s="62"/>
      <c r="J58" s="62"/>
      <c r="K58" s="62"/>
      <c r="L58" s="56"/>
      <c r="M58" s="56"/>
      <c r="N58" s="56">
        <f t="shared" si="1"/>
        <v>0</v>
      </c>
      <c r="O58" s="301"/>
      <c r="P58" s="56">
        <f t="shared" si="11"/>
        <v>0</v>
      </c>
      <c r="Q58" s="293"/>
      <c r="R58" s="293"/>
      <c r="S58" s="293"/>
      <c r="T58" s="293">
        <f t="shared" si="3"/>
        <v>0</v>
      </c>
      <c r="U58" s="293">
        <f t="shared" si="4"/>
        <v>0</v>
      </c>
      <c r="V58" s="294">
        <f t="shared" si="5"/>
        <v>0</v>
      </c>
      <c r="W58" s="62"/>
      <c r="X58" s="293"/>
      <c r="Y58" s="295"/>
      <c r="Z58" s="60"/>
      <c r="AA58" s="297"/>
    </row>
    <row r="59" spans="1:27">
      <c r="A59" s="236">
        <f t="shared" si="0"/>
        <v>114</v>
      </c>
      <c r="B59" s="345" t="s">
        <v>284</v>
      </c>
      <c r="C59" s="238"/>
      <c r="D59" s="62"/>
      <c r="E59" s="62"/>
      <c r="F59" s="62"/>
      <c r="G59" s="62"/>
      <c r="H59" s="62"/>
      <c r="I59" s="62"/>
      <c r="J59" s="62"/>
      <c r="K59" s="62"/>
      <c r="L59" s="56"/>
      <c r="M59" s="56"/>
      <c r="N59" s="56">
        <f t="shared" si="1"/>
        <v>0</v>
      </c>
      <c r="O59" s="301"/>
      <c r="P59" s="56">
        <f t="shared" si="11"/>
        <v>0</v>
      </c>
      <c r="Q59" s="293"/>
      <c r="R59" s="293"/>
      <c r="S59" s="293"/>
      <c r="T59" s="293">
        <f t="shared" si="3"/>
        <v>0</v>
      </c>
      <c r="U59" s="293">
        <f t="shared" si="4"/>
        <v>0</v>
      </c>
      <c r="V59" s="294">
        <f t="shared" si="5"/>
        <v>0</v>
      </c>
      <c r="W59" s="62"/>
      <c r="X59" s="293"/>
      <c r="Y59" s="295"/>
      <c r="Z59" s="60"/>
      <c r="AA59" s="297"/>
    </row>
    <row r="60" spans="1:27" s="367" customFormat="1">
      <c r="A60" s="236">
        <f t="shared" si="0"/>
        <v>115</v>
      </c>
      <c r="B60" s="237" t="s">
        <v>285</v>
      </c>
      <c r="C60" s="238"/>
      <c r="D60" s="347">
        <v>40000</v>
      </c>
      <c r="E60" s="347"/>
      <c r="F60" s="347">
        <v>20000</v>
      </c>
      <c r="G60" s="347">
        <v>7500</v>
      </c>
      <c r="H60" s="347" t="s">
        <v>286</v>
      </c>
      <c r="I60" s="347"/>
      <c r="J60" s="347"/>
      <c r="K60" s="347"/>
      <c r="L60" s="350"/>
      <c r="M60" s="350"/>
      <c r="N60" s="350">
        <f t="shared" si="1"/>
        <v>0</v>
      </c>
      <c r="O60" s="366" t="s">
        <v>287</v>
      </c>
      <c r="P60" s="350">
        <f t="shared" si="11"/>
        <v>0</v>
      </c>
      <c r="Q60" s="304">
        <v>25000</v>
      </c>
      <c r="R60" s="308"/>
      <c r="S60" s="304">
        <v>25000</v>
      </c>
      <c r="T60" s="66">
        <f t="shared" si="3"/>
        <v>25000</v>
      </c>
      <c r="U60" s="66">
        <f t="shared" si="4"/>
        <v>50000</v>
      </c>
      <c r="V60" s="66">
        <f t="shared" si="5"/>
        <v>50000</v>
      </c>
      <c r="W60" s="347"/>
      <c r="X60" s="66"/>
      <c r="Y60" s="295" t="s">
        <v>288</v>
      </c>
      <c r="Z60" s="352">
        <v>50000</v>
      </c>
      <c r="AA60" s="68">
        <v>40000</v>
      </c>
    </row>
    <row r="61" spans="1:27" ht="28.5">
      <c r="A61" s="236">
        <f t="shared" si="0"/>
        <v>116</v>
      </c>
      <c r="B61" s="237" t="s">
        <v>289</v>
      </c>
      <c r="C61" s="238"/>
      <c r="D61" s="347">
        <v>60000</v>
      </c>
      <c r="E61" s="347"/>
      <c r="F61" s="347"/>
      <c r="G61" s="347"/>
      <c r="H61" s="347"/>
      <c r="I61" s="347"/>
      <c r="J61" s="347">
        <v>60000</v>
      </c>
      <c r="K61" s="347">
        <f>J61</f>
        <v>60000</v>
      </c>
      <c r="L61" s="350"/>
      <c r="M61" s="350">
        <v>65000</v>
      </c>
      <c r="N61" s="350">
        <f t="shared" si="1"/>
        <v>65000</v>
      </c>
      <c r="O61" s="312" t="s">
        <v>290</v>
      </c>
      <c r="P61" s="350">
        <f t="shared" si="11"/>
        <v>65000</v>
      </c>
      <c r="Q61" s="293"/>
      <c r="R61" s="293"/>
      <c r="S61" s="304">
        <v>45000</v>
      </c>
      <c r="T61" s="66">
        <f t="shared" si="3"/>
        <v>45000</v>
      </c>
      <c r="U61" s="66">
        <f t="shared" si="4"/>
        <v>45000</v>
      </c>
      <c r="V61" s="66">
        <f t="shared" si="5"/>
        <v>110000</v>
      </c>
      <c r="W61" s="347"/>
      <c r="X61" s="66"/>
      <c r="Y61" s="295"/>
      <c r="Z61" s="352">
        <v>50000</v>
      </c>
      <c r="AA61" s="68">
        <v>60000</v>
      </c>
    </row>
    <row r="62" spans="1:27" ht="35.25" customHeight="1">
      <c r="A62" s="236">
        <f t="shared" si="0"/>
        <v>117</v>
      </c>
      <c r="B62" s="237" t="s">
        <v>291</v>
      </c>
      <c r="C62" s="238"/>
      <c r="D62" s="347">
        <v>120000</v>
      </c>
      <c r="E62" s="347"/>
      <c r="F62" s="347">
        <v>30000</v>
      </c>
      <c r="G62" s="347">
        <v>10000</v>
      </c>
      <c r="H62" s="349" t="s">
        <v>292</v>
      </c>
      <c r="I62" s="347"/>
      <c r="J62" s="347">
        <v>40000</v>
      </c>
      <c r="K62" s="347">
        <f t="shared" ref="K62:K65" si="18">J62</f>
        <v>40000</v>
      </c>
      <c r="L62" s="350"/>
      <c r="M62" s="350">
        <v>50000</v>
      </c>
      <c r="N62" s="350">
        <f t="shared" si="1"/>
        <v>50000</v>
      </c>
      <c r="O62" s="312" t="s">
        <v>293</v>
      </c>
      <c r="P62" s="350">
        <f t="shared" si="11"/>
        <v>50000</v>
      </c>
      <c r="Q62" s="293">
        <v>40000</v>
      </c>
      <c r="R62" s="293"/>
      <c r="S62" s="293">
        <v>30000</v>
      </c>
      <c r="T62" s="66">
        <f t="shared" si="3"/>
        <v>30000</v>
      </c>
      <c r="U62" s="66">
        <f t="shared" si="4"/>
        <v>70000</v>
      </c>
      <c r="V62" s="66">
        <f t="shared" si="5"/>
        <v>120000</v>
      </c>
      <c r="W62" s="347"/>
      <c r="X62" s="66"/>
      <c r="Y62" s="295" t="s">
        <v>293</v>
      </c>
      <c r="Z62" s="352">
        <v>70000</v>
      </c>
      <c r="AA62" s="68">
        <v>120000</v>
      </c>
    </row>
    <row r="63" spans="1:27">
      <c r="A63" s="236">
        <f t="shared" si="0"/>
        <v>118</v>
      </c>
      <c r="B63" s="237" t="s">
        <v>280</v>
      </c>
      <c r="C63" s="238"/>
      <c r="D63" s="347">
        <v>30000</v>
      </c>
      <c r="E63" s="347"/>
      <c r="F63" s="347">
        <v>10000</v>
      </c>
      <c r="G63" s="347">
        <v>0</v>
      </c>
      <c r="H63" s="347"/>
      <c r="I63" s="347"/>
      <c r="J63" s="347">
        <v>10000</v>
      </c>
      <c r="K63" s="347">
        <f t="shared" si="18"/>
        <v>10000</v>
      </c>
      <c r="L63" s="350"/>
      <c r="M63" s="350">
        <v>15000</v>
      </c>
      <c r="N63" s="350">
        <f t="shared" si="1"/>
        <v>15000</v>
      </c>
      <c r="O63" s="312"/>
      <c r="P63" s="350">
        <f t="shared" si="11"/>
        <v>15000</v>
      </c>
      <c r="Q63" s="293">
        <v>15000</v>
      </c>
      <c r="R63" s="293"/>
      <c r="S63" s="293">
        <v>15000</v>
      </c>
      <c r="T63" s="66">
        <f t="shared" si="3"/>
        <v>15000</v>
      </c>
      <c r="U63" s="66">
        <f t="shared" si="4"/>
        <v>30000</v>
      </c>
      <c r="V63" s="66">
        <f t="shared" si="5"/>
        <v>45000</v>
      </c>
      <c r="W63" s="347"/>
      <c r="X63" s="66"/>
      <c r="Y63" s="295"/>
      <c r="Z63" s="352">
        <v>30000</v>
      </c>
      <c r="AA63" s="68">
        <v>30000</v>
      </c>
    </row>
    <row r="64" spans="1:27">
      <c r="A64" s="236">
        <f t="shared" si="0"/>
        <v>119</v>
      </c>
      <c r="B64" s="237" t="s">
        <v>294</v>
      </c>
      <c r="C64" s="238"/>
      <c r="D64" s="347">
        <v>98750</v>
      </c>
      <c r="E64" s="347"/>
      <c r="F64" s="347">
        <v>32000</v>
      </c>
      <c r="G64" s="347">
        <v>20000</v>
      </c>
      <c r="H64" s="347"/>
      <c r="I64" s="347">
        <v>20288</v>
      </c>
      <c r="J64" s="347">
        <v>14462</v>
      </c>
      <c r="K64" s="347">
        <f t="shared" si="18"/>
        <v>14462</v>
      </c>
      <c r="L64" s="350">
        <v>20288</v>
      </c>
      <c r="M64" s="350">
        <v>17628</v>
      </c>
      <c r="N64" s="350">
        <f t="shared" si="1"/>
        <v>37916</v>
      </c>
      <c r="O64" s="368" t="s">
        <v>275</v>
      </c>
      <c r="P64" s="350">
        <f t="shared" si="11"/>
        <v>37916</v>
      </c>
      <c r="Q64" s="304">
        <v>12000</v>
      </c>
      <c r="R64" s="293">
        <v>20000</v>
      </c>
      <c r="S64" s="304">
        <v>12000</v>
      </c>
      <c r="T64" s="66">
        <f t="shared" si="3"/>
        <v>32000</v>
      </c>
      <c r="U64" s="66">
        <f t="shared" si="4"/>
        <v>44000</v>
      </c>
      <c r="V64" s="66">
        <f t="shared" si="5"/>
        <v>81916</v>
      </c>
      <c r="W64" s="347"/>
      <c r="X64" s="66"/>
      <c r="Y64" s="295" t="s">
        <v>275</v>
      </c>
      <c r="Z64" s="352">
        <v>44000</v>
      </c>
      <c r="AA64" s="68">
        <v>98750</v>
      </c>
    </row>
    <row r="65" spans="1:27">
      <c r="A65" s="236">
        <f t="shared" si="0"/>
        <v>120</v>
      </c>
      <c r="B65" s="237" t="s">
        <v>295</v>
      </c>
      <c r="C65" s="238"/>
      <c r="D65" s="347">
        <v>80000</v>
      </c>
      <c r="E65" s="347"/>
      <c r="F65" s="347">
        <v>25000</v>
      </c>
      <c r="G65" s="347">
        <v>15000</v>
      </c>
      <c r="H65" s="347" t="s">
        <v>177</v>
      </c>
      <c r="I65" s="347">
        <v>5000</v>
      </c>
      <c r="J65" s="347">
        <v>23000</v>
      </c>
      <c r="K65" s="347">
        <f t="shared" si="18"/>
        <v>23000</v>
      </c>
      <c r="L65" s="350">
        <v>5000</v>
      </c>
      <c r="M65" s="350">
        <v>20000</v>
      </c>
      <c r="N65" s="350">
        <f t="shared" si="1"/>
        <v>25000</v>
      </c>
      <c r="O65" s="369" t="s">
        <v>277</v>
      </c>
      <c r="P65" s="350">
        <f t="shared" si="11"/>
        <v>25000</v>
      </c>
      <c r="Q65" s="311">
        <v>22500</v>
      </c>
      <c r="R65" s="293">
        <v>5000</v>
      </c>
      <c r="S65" s="311">
        <v>22500</v>
      </c>
      <c r="T65" s="66">
        <f t="shared" si="3"/>
        <v>27500</v>
      </c>
      <c r="U65" s="66">
        <f t="shared" si="4"/>
        <v>50000</v>
      </c>
      <c r="V65" s="66">
        <f t="shared" si="5"/>
        <v>75000</v>
      </c>
      <c r="W65" s="347"/>
      <c r="X65" s="66"/>
      <c r="Y65" s="295" t="s">
        <v>277</v>
      </c>
      <c r="Z65" s="352">
        <v>55000</v>
      </c>
      <c r="AA65" s="68">
        <v>80000</v>
      </c>
    </row>
    <row r="66" spans="1:27">
      <c r="A66" s="236" t="s">
        <v>296</v>
      </c>
      <c r="B66" s="237" t="s">
        <v>188</v>
      </c>
      <c r="C66" s="238"/>
      <c r="D66" s="347"/>
      <c r="E66" s="347"/>
      <c r="F66" s="347"/>
      <c r="G66" s="347"/>
      <c r="H66" s="347"/>
      <c r="I66" s="347"/>
      <c r="J66" s="347"/>
      <c r="K66" s="347">
        <f>I67</f>
        <v>25288</v>
      </c>
      <c r="L66" s="350"/>
      <c r="M66" s="350"/>
      <c r="N66" s="350">
        <f t="shared" si="1"/>
        <v>0</v>
      </c>
      <c r="O66" s="369"/>
      <c r="P66" s="350">
        <f t="shared" si="11"/>
        <v>0</v>
      </c>
      <c r="Q66" s="293"/>
      <c r="R66" s="293"/>
      <c r="S66" s="293"/>
      <c r="T66" s="66">
        <f t="shared" si="3"/>
        <v>0</v>
      </c>
      <c r="U66" s="66">
        <f t="shared" si="4"/>
        <v>0</v>
      </c>
      <c r="V66" s="66">
        <f t="shared" si="5"/>
        <v>0</v>
      </c>
      <c r="W66" s="347"/>
      <c r="X66" s="66"/>
      <c r="Y66" s="295"/>
      <c r="Z66" s="352">
        <v>0</v>
      </c>
      <c r="AA66" s="68"/>
    </row>
    <row r="67" spans="1:27">
      <c r="A67" s="357">
        <f>A65+1</f>
        <v>121</v>
      </c>
      <c r="B67" s="345" t="s">
        <v>297</v>
      </c>
      <c r="C67" s="359">
        <f>330000+50000+40000</f>
        <v>420000</v>
      </c>
      <c r="D67" s="370">
        <v>428750</v>
      </c>
      <c r="E67" s="370">
        <v>150942</v>
      </c>
      <c r="F67" s="370">
        <f t="shared" ref="F67:G67" si="19">SUM(F60:F65)</f>
        <v>117000</v>
      </c>
      <c r="G67" s="370">
        <f t="shared" si="19"/>
        <v>52500</v>
      </c>
      <c r="H67" s="370" t="s">
        <v>298</v>
      </c>
      <c r="I67" s="370">
        <f t="shared" ref="I67:N67" si="20">SUM(I60:I66)</f>
        <v>25288</v>
      </c>
      <c r="J67" s="370">
        <f t="shared" si="20"/>
        <v>147462</v>
      </c>
      <c r="K67" s="370">
        <f t="shared" si="20"/>
        <v>172750</v>
      </c>
      <c r="L67" s="371">
        <f t="shared" si="20"/>
        <v>25288</v>
      </c>
      <c r="M67" s="371">
        <f t="shared" si="20"/>
        <v>167628</v>
      </c>
      <c r="N67" s="371">
        <f t="shared" si="20"/>
        <v>192916</v>
      </c>
      <c r="O67" s="372"/>
      <c r="P67" s="371">
        <f t="shared" si="11"/>
        <v>192916</v>
      </c>
      <c r="Q67" s="373">
        <f>SUM(Q60:Q66)</f>
        <v>114500</v>
      </c>
      <c r="R67" s="373">
        <f>SUM(R60:R66)</f>
        <v>25000</v>
      </c>
      <c r="S67" s="373">
        <f>SUM(S60:S66)</f>
        <v>149500</v>
      </c>
      <c r="T67" s="373">
        <f t="shared" si="3"/>
        <v>174500</v>
      </c>
      <c r="U67" s="373">
        <f t="shared" si="4"/>
        <v>289000</v>
      </c>
      <c r="V67" s="374">
        <f t="shared" si="5"/>
        <v>481916</v>
      </c>
      <c r="W67" s="370">
        <f>E67+G67+K67</f>
        <v>376192</v>
      </c>
      <c r="X67" s="374"/>
      <c r="Y67" s="295"/>
      <c r="Z67" s="375">
        <v>299000</v>
      </c>
      <c r="AA67" s="376">
        <v>428750</v>
      </c>
    </row>
    <row r="68" spans="1:27">
      <c r="A68" s="236">
        <f t="shared" si="0"/>
        <v>122</v>
      </c>
      <c r="B68" s="237"/>
      <c r="C68" s="238"/>
      <c r="D68" s="62"/>
      <c r="E68" s="62"/>
      <c r="F68" s="62"/>
      <c r="G68" s="62"/>
      <c r="H68" s="62"/>
      <c r="I68" s="62"/>
      <c r="J68" s="62"/>
      <c r="K68" s="62"/>
      <c r="L68" s="56"/>
      <c r="M68" s="56"/>
      <c r="N68" s="56">
        <f t="shared" si="1"/>
        <v>0</v>
      </c>
      <c r="O68" s="301"/>
      <c r="P68" s="56">
        <f t="shared" si="11"/>
        <v>0</v>
      </c>
      <c r="Q68" s="293"/>
      <c r="R68" s="293"/>
      <c r="S68" s="293"/>
      <c r="T68" s="293">
        <f t="shared" si="3"/>
        <v>0</v>
      </c>
      <c r="U68" s="293">
        <f t="shared" si="4"/>
        <v>0</v>
      </c>
      <c r="V68" s="294">
        <f t="shared" si="5"/>
        <v>0</v>
      </c>
      <c r="W68" s="71">
        <f>E68+G68+K68</f>
        <v>0</v>
      </c>
      <c r="X68" s="293"/>
      <c r="Y68" s="295"/>
      <c r="Z68" s="60"/>
      <c r="AA68" s="297"/>
    </row>
    <row r="69" spans="1:27">
      <c r="A69" s="291">
        <f t="shared" si="0"/>
        <v>123</v>
      </c>
      <c r="B69" s="345" t="s">
        <v>299</v>
      </c>
      <c r="C69" s="238"/>
      <c r="D69" s="62"/>
      <c r="E69" s="62"/>
      <c r="F69" s="62"/>
      <c r="G69" s="62"/>
      <c r="H69" s="62"/>
      <c r="I69" s="62"/>
      <c r="J69" s="62"/>
      <c r="K69" s="62"/>
      <c r="L69" s="56"/>
      <c r="M69" s="56"/>
      <c r="N69" s="56">
        <f t="shared" si="1"/>
        <v>0</v>
      </c>
      <c r="O69" s="301"/>
      <c r="P69" s="56">
        <f t="shared" si="11"/>
        <v>0</v>
      </c>
      <c r="Q69" s="293"/>
      <c r="R69" s="293"/>
      <c r="S69" s="293"/>
      <c r="T69" s="293">
        <f t="shared" si="3"/>
        <v>0</v>
      </c>
      <c r="U69" s="293">
        <f t="shared" si="4"/>
        <v>0</v>
      </c>
      <c r="V69" s="294">
        <f t="shared" si="5"/>
        <v>0</v>
      </c>
      <c r="W69" s="71">
        <f>E69+G69+K69</f>
        <v>0</v>
      </c>
      <c r="X69" s="293"/>
      <c r="Y69" s="295"/>
      <c r="Z69" s="60"/>
      <c r="AA69" s="297"/>
    </row>
    <row r="70" spans="1:27" s="367" customFormat="1" ht="42.75">
      <c r="A70" s="236">
        <f t="shared" si="0"/>
        <v>124</v>
      </c>
      <c r="B70" s="237" t="s">
        <v>300</v>
      </c>
      <c r="C70" s="238"/>
      <c r="D70" s="347">
        <v>110000</v>
      </c>
      <c r="E70" s="347"/>
      <c r="F70" s="347">
        <v>30000</v>
      </c>
      <c r="G70" s="347">
        <v>30000</v>
      </c>
      <c r="H70" s="347" t="s">
        <v>301</v>
      </c>
      <c r="I70" s="347"/>
      <c r="J70" s="347">
        <v>30000</v>
      </c>
      <c r="K70" s="347">
        <f>J70</f>
        <v>30000</v>
      </c>
      <c r="L70" s="350"/>
      <c r="M70" s="350">
        <v>25000</v>
      </c>
      <c r="N70" s="350">
        <f t="shared" si="1"/>
        <v>25000</v>
      </c>
      <c r="O70" s="369" t="s">
        <v>302</v>
      </c>
      <c r="P70" s="350">
        <f t="shared" si="11"/>
        <v>25000</v>
      </c>
      <c r="Q70" s="293">
        <v>24000</v>
      </c>
      <c r="R70" s="293"/>
      <c r="S70" s="293">
        <v>24000</v>
      </c>
      <c r="T70" s="66">
        <f t="shared" si="3"/>
        <v>24000</v>
      </c>
      <c r="U70" s="66">
        <f t="shared" si="4"/>
        <v>48000</v>
      </c>
      <c r="V70" s="66">
        <f t="shared" si="5"/>
        <v>73000</v>
      </c>
      <c r="W70" s="347"/>
      <c r="X70" s="66"/>
      <c r="Y70" s="295" t="s">
        <v>302</v>
      </c>
      <c r="Z70" s="352">
        <v>48000</v>
      </c>
      <c r="AA70" s="68">
        <v>94000</v>
      </c>
    </row>
    <row r="71" spans="1:27" ht="42.75">
      <c r="A71" s="236" t="s">
        <v>303</v>
      </c>
      <c r="B71" s="303" t="s">
        <v>304</v>
      </c>
      <c r="C71" s="238"/>
      <c r="D71" s="347">
        <v>30000</v>
      </c>
      <c r="E71" s="347"/>
      <c r="F71" s="347">
        <v>10000</v>
      </c>
      <c r="G71" s="347">
        <v>10000</v>
      </c>
      <c r="H71" s="349" t="s">
        <v>305</v>
      </c>
      <c r="I71" s="347"/>
      <c r="J71" s="347">
        <v>8000</v>
      </c>
      <c r="K71" s="347">
        <f t="shared" ref="K71:K84" si="21">J71</f>
        <v>8000</v>
      </c>
      <c r="L71" s="350"/>
      <c r="M71" s="350">
        <v>30000</v>
      </c>
      <c r="N71" s="350">
        <f t="shared" si="1"/>
        <v>30000</v>
      </c>
      <c r="O71" s="377" t="s">
        <v>306</v>
      </c>
      <c r="P71" s="350">
        <f t="shared" si="11"/>
        <v>30000</v>
      </c>
      <c r="Q71" s="304">
        <v>15000</v>
      </c>
      <c r="R71" s="293"/>
      <c r="S71" s="304">
        <v>15000</v>
      </c>
      <c r="T71" s="66">
        <f t="shared" si="3"/>
        <v>15000</v>
      </c>
      <c r="U71" s="66">
        <f t="shared" si="4"/>
        <v>30000</v>
      </c>
      <c r="V71" s="66">
        <f t="shared" si="5"/>
        <v>60000</v>
      </c>
      <c r="W71" s="347"/>
      <c r="X71" s="66"/>
      <c r="Y71" s="295"/>
      <c r="Z71" s="352">
        <v>30000</v>
      </c>
      <c r="AA71" s="68">
        <v>15000</v>
      </c>
    </row>
    <row r="72" spans="1:27" ht="28.5">
      <c r="A72" s="236" t="s">
        <v>307</v>
      </c>
      <c r="B72" s="378" t="s">
        <v>308</v>
      </c>
      <c r="C72" s="238"/>
      <c r="D72" s="347"/>
      <c r="E72" s="347"/>
      <c r="F72" s="347"/>
      <c r="G72" s="347"/>
      <c r="H72" s="349"/>
      <c r="I72" s="347"/>
      <c r="J72" s="347"/>
      <c r="K72" s="347"/>
      <c r="L72" s="350"/>
      <c r="M72" s="350">
        <v>4000</v>
      </c>
      <c r="N72" s="350">
        <f t="shared" si="1"/>
        <v>4000</v>
      </c>
      <c r="O72" s="379" t="s">
        <v>309</v>
      </c>
      <c r="P72" s="350">
        <f t="shared" si="11"/>
        <v>4000</v>
      </c>
      <c r="Q72" s="293"/>
      <c r="R72" s="293"/>
      <c r="S72" s="293"/>
      <c r="T72" s="66">
        <f t="shared" ref="T72:T122" si="22">R72+S72</f>
        <v>0</v>
      </c>
      <c r="U72" s="66">
        <f t="shared" ref="U72:U122" si="23">Q72+T72</f>
        <v>0</v>
      </c>
      <c r="V72" s="66">
        <f t="shared" ref="V72:V135" si="24">U72+P72</f>
        <v>4000</v>
      </c>
      <c r="W72" s="347"/>
      <c r="X72" s="66"/>
      <c r="Y72" s="295" t="s">
        <v>309</v>
      </c>
      <c r="Z72" s="352"/>
      <c r="AA72" s="68"/>
    </row>
    <row r="73" spans="1:27" ht="47.25">
      <c r="A73" s="236" t="s">
        <v>310</v>
      </c>
      <c r="B73" s="380" t="s">
        <v>311</v>
      </c>
      <c r="C73" s="238"/>
      <c r="D73" s="347"/>
      <c r="E73" s="347"/>
      <c r="F73" s="347"/>
      <c r="G73" s="347"/>
      <c r="H73" s="349"/>
      <c r="I73" s="347"/>
      <c r="J73" s="347"/>
      <c r="K73" s="347"/>
      <c r="L73" s="350"/>
      <c r="M73" s="350">
        <v>5500</v>
      </c>
      <c r="N73" s="350">
        <f t="shared" ref="N73:N85" si="25">L73+M73</f>
        <v>5500</v>
      </c>
      <c r="O73" s="379" t="s">
        <v>312</v>
      </c>
      <c r="P73" s="350">
        <f t="shared" si="11"/>
        <v>5500</v>
      </c>
      <c r="Q73" s="304">
        <v>4500</v>
      </c>
      <c r="R73" s="293"/>
      <c r="S73" s="304">
        <v>4500</v>
      </c>
      <c r="T73" s="66">
        <f t="shared" si="22"/>
        <v>4500</v>
      </c>
      <c r="U73" s="66">
        <f t="shared" si="23"/>
        <v>9000</v>
      </c>
      <c r="V73" s="66">
        <f t="shared" si="24"/>
        <v>14500</v>
      </c>
      <c r="W73" s="347"/>
      <c r="X73" s="66"/>
      <c r="Y73" s="295" t="s">
        <v>312</v>
      </c>
      <c r="Z73" s="352">
        <v>9000</v>
      </c>
      <c r="AA73" s="68"/>
    </row>
    <row r="74" spans="1:27" ht="15.75">
      <c r="A74" s="236" t="s">
        <v>313</v>
      </c>
      <c r="B74" s="237" t="s">
        <v>314</v>
      </c>
      <c r="C74" s="238"/>
      <c r="D74" s="347"/>
      <c r="E74" s="347"/>
      <c r="F74" s="347"/>
      <c r="G74" s="347"/>
      <c r="H74" s="349"/>
      <c r="I74" s="347"/>
      <c r="J74" s="347"/>
      <c r="K74" s="347"/>
      <c r="L74" s="350"/>
      <c r="M74" s="350">
        <v>25000</v>
      </c>
      <c r="N74" s="350">
        <f t="shared" si="25"/>
        <v>25000</v>
      </c>
      <c r="O74" s="379" t="s">
        <v>315</v>
      </c>
      <c r="P74" s="350">
        <f t="shared" si="11"/>
        <v>25000</v>
      </c>
      <c r="Q74" s="293">
        <v>13500</v>
      </c>
      <c r="R74" s="293"/>
      <c r="S74" s="293">
        <v>13500</v>
      </c>
      <c r="T74" s="66">
        <f t="shared" si="22"/>
        <v>13500</v>
      </c>
      <c r="U74" s="66">
        <f t="shared" si="23"/>
        <v>27000</v>
      </c>
      <c r="V74" s="66">
        <f t="shared" si="24"/>
        <v>52000</v>
      </c>
      <c r="W74" s="347"/>
      <c r="X74" s="66"/>
      <c r="Y74" s="295" t="s">
        <v>315</v>
      </c>
      <c r="Z74" s="352">
        <v>27000</v>
      </c>
      <c r="AA74" s="68"/>
    </row>
    <row r="75" spans="1:27" ht="31.5">
      <c r="A75" s="236" t="s">
        <v>316</v>
      </c>
      <c r="B75" s="303" t="s">
        <v>317</v>
      </c>
      <c r="C75" s="238"/>
      <c r="D75" s="347"/>
      <c r="E75" s="347"/>
      <c r="F75" s="347"/>
      <c r="G75" s="347"/>
      <c r="H75" s="349"/>
      <c r="I75" s="347"/>
      <c r="J75" s="347"/>
      <c r="K75" s="347"/>
      <c r="L75" s="350"/>
      <c r="M75" s="350">
        <v>3500</v>
      </c>
      <c r="N75" s="350">
        <f t="shared" si="25"/>
        <v>3500</v>
      </c>
      <c r="O75" s="379" t="s">
        <v>318</v>
      </c>
      <c r="P75" s="350">
        <f t="shared" si="11"/>
        <v>3500</v>
      </c>
      <c r="Q75" s="293">
        <v>3500</v>
      </c>
      <c r="R75" s="293"/>
      <c r="S75" s="293">
        <v>3500</v>
      </c>
      <c r="T75" s="66">
        <f t="shared" si="22"/>
        <v>3500</v>
      </c>
      <c r="U75" s="66">
        <f t="shared" si="23"/>
        <v>7000</v>
      </c>
      <c r="V75" s="66">
        <f t="shared" si="24"/>
        <v>10500</v>
      </c>
      <c r="W75" s="347"/>
      <c r="X75" s="66"/>
      <c r="Y75" s="295" t="s">
        <v>318</v>
      </c>
      <c r="Z75" s="352">
        <v>7000</v>
      </c>
      <c r="AA75" s="68"/>
    </row>
    <row r="76" spans="1:27" ht="28.5">
      <c r="A76" s="236" t="s">
        <v>319</v>
      </c>
      <c r="B76" s="303" t="s">
        <v>320</v>
      </c>
      <c r="C76" s="238"/>
      <c r="D76" s="347">
        <v>30000</v>
      </c>
      <c r="E76" s="347"/>
      <c r="F76" s="347">
        <v>0</v>
      </c>
      <c r="G76" s="347"/>
      <c r="H76" s="347" t="s">
        <v>321</v>
      </c>
      <c r="I76" s="347"/>
      <c r="J76" s="347">
        <v>15000</v>
      </c>
      <c r="K76" s="347">
        <f t="shared" si="21"/>
        <v>15000</v>
      </c>
      <c r="L76" s="350"/>
      <c r="M76" s="350">
        <v>6000</v>
      </c>
      <c r="N76" s="350">
        <f t="shared" si="25"/>
        <v>6000</v>
      </c>
      <c r="O76" s="369" t="s">
        <v>322</v>
      </c>
      <c r="P76" s="350">
        <f t="shared" si="11"/>
        <v>6000</v>
      </c>
      <c r="Q76" s="293">
        <v>6000</v>
      </c>
      <c r="R76" s="293"/>
      <c r="S76" s="293">
        <v>6000</v>
      </c>
      <c r="T76" s="66">
        <f t="shared" si="22"/>
        <v>6000</v>
      </c>
      <c r="U76" s="66">
        <f t="shared" si="23"/>
        <v>12000</v>
      </c>
      <c r="V76" s="66">
        <f t="shared" si="24"/>
        <v>18000</v>
      </c>
      <c r="W76" s="347"/>
      <c r="X76" s="66"/>
      <c r="Y76" s="295" t="s">
        <v>322</v>
      </c>
      <c r="Z76" s="352">
        <v>12000</v>
      </c>
      <c r="AA76" s="68">
        <v>50000</v>
      </c>
    </row>
    <row r="77" spans="1:27">
      <c r="A77" s="236" t="s">
        <v>323</v>
      </c>
      <c r="B77" s="303" t="s">
        <v>324</v>
      </c>
      <c r="C77" s="238"/>
      <c r="D77" s="347"/>
      <c r="E77" s="347"/>
      <c r="F77" s="347"/>
      <c r="G77" s="347"/>
      <c r="H77" s="347"/>
      <c r="I77" s="347"/>
      <c r="J77" s="347"/>
      <c r="K77" s="347"/>
      <c r="L77" s="350"/>
      <c r="M77" s="350">
        <v>15000</v>
      </c>
      <c r="N77" s="350">
        <f t="shared" si="25"/>
        <v>15000</v>
      </c>
      <c r="O77" s="369" t="s">
        <v>325</v>
      </c>
      <c r="P77" s="350">
        <f t="shared" si="11"/>
        <v>15000</v>
      </c>
      <c r="Q77" s="304">
        <v>12500</v>
      </c>
      <c r="R77" s="293"/>
      <c r="S77" s="304">
        <v>12500</v>
      </c>
      <c r="T77" s="66">
        <f t="shared" si="22"/>
        <v>12500</v>
      </c>
      <c r="U77" s="66">
        <f t="shared" si="23"/>
        <v>25000</v>
      </c>
      <c r="V77" s="66">
        <f t="shared" si="24"/>
        <v>40000</v>
      </c>
      <c r="W77" s="347"/>
      <c r="X77" s="66"/>
      <c r="Y77" s="295" t="s">
        <v>325</v>
      </c>
      <c r="Z77" s="352">
        <v>25000</v>
      </c>
      <c r="AA77" s="68"/>
    </row>
    <row r="78" spans="1:27" ht="15.75">
      <c r="A78" s="236" t="s">
        <v>326</v>
      </c>
      <c r="B78" s="381" t="s">
        <v>327</v>
      </c>
      <c r="C78" s="238"/>
      <c r="D78" s="347">
        <v>15000</v>
      </c>
      <c r="E78" s="347"/>
      <c r="F78" s="347"/>
      <c r="G78" s="347"/>
      <c r="H78" s="347"/>
      <c r="I78" s="347"/>
      <c r="J78" s="347"/>
      <c r="K78" s="347">
        <f t="shared" si="21"/>
        <v>0</v>
      </c>
      <c r="L78" s="350"/>
      <c r="M78" s="350">
        <v>0</v>
      </c>
      <c r="N78" s="350">
        <f t="shared" si="25"/>
        <v>0</v>
      </c>
      <c r="O78" s="369" t="s">
        <v>328</v>
      </c>
      <c r="P78" s="350">
        <f t="shared" si="11"/>
        <v>0</v>
      </c>
      <c r="Q78" s="304">
        <v>60000</v>
      </c>
      <c r="R78" s="293"/>
      <c r="S78" s="293"/>
      <c r="T78" s="66">
        <f t="shared" si="22"/>
        <v>0</v>
      </c>
      <c r="U78" s="66">
        <f t="shared" si="23"/>
        <v>60000</v>
      </c>
      <c r="V78" s="66">
        <f t="shared" si="24"/>
        <v>60000</v>
      </c>
      <c r="W78" s="347"/>
      <c r="X78" s="66"/>
      <c r="Y78" s="295" t="s">
        <v>329</v>
      </c>
      <c r="Z78" s="352">
        <v>60000</v>
      </c>
      <c r="AA78" s="68">
        <v>12000</v>
      </c>
    </row>
    <row r="79" spans="1:27" ht="31.5">
      <c r="A79" s="236" t="s">
        <v>330</v>
      </c>
      <c r="B79" s="382" t="s">
        <v>331</v>
      </c>
      <c r="C79" s="238"/>
      <c r="D79" s="347"/>
      <c r="E79" s="347"/>
      <c r="F79" s="347"/>
      <c r="G79" s="347"/>
      <c r="H79" s="347"/>
      <c r="I79" s="347"/>
      <c r="J79" s="347"/>
      <c r="K79" s="347"/>
      <c r="L79" s="350"/>
      <c r="M79" s="350">
        <v>3500</v>
      </c>
      <c r="N79" s="350">
        <f t="shared" si="25"/>
        <v>3500</v>
      </c>
      <c r="O79" s="369" t="s">
        <v>332</v>
      </c>
      <c r="P79" s="350">
        <f t="shared" si="11"/>
        <v>3500</v>
      </c>
      <c r="Q79" s="293">
        <v>3500</v>
      </c>
      <c r="R79" s="293"/>
      <c r="S79" s="293">
        <v>3500</v>
      </c>
      <c r="T79" s="66">
        <f t="shared" si="22"/>
        <v>3500</v>
      </c>
      <c r="U79" s="66">
        <f t="shared" si="23"/>
        <v>7000</v>
      </c>
      <c r="V79" s="66">
        <f t="shared" si="24"/>
        <v>10500</v>
      </c>
      <c r="W79" s="347"/>
      <c r="X79" s="66"/>
      <c r="Y79" s="295"/>
      <c r="Z79" s="352">
        <v>7000</v>
      </c>
      <c r="AA79" s="68"/>
    </row>
    <row r="80" spans="1:27" ht="15.75">
      <c r="A80" s="236">
        <v>128</v>
      </c>
      <c r="B80" s="382" t="s">
        <v>276</v>
      </c>
      <c r="C80" s="238"/>
      <c r="D80" s="347">
        <v>50000</v>
      </c>
      <c r="E80" s="347"/>
      <c r="F80" s="347">
        <v>60000</v>
      </c>
      <c r="G80" s="347">
        <v>6000</v>
      </c>
      <c r="H80" s="347" t="s">
        <v>333</v>
      </c>
      <c r="I80" s="347"/>
      <c r="J80" s="347">
        <v>30000</v>
      </c>
      <c r="K80" s="347">
        <f t="shared" si="21"/>
        <v>30000</v>
      </c>
      <c r="L80" s="350">
        <v>5000</v>
      </c>
      <c r="M80" s="350">
        <v>25000</v>
      </c>
      <c r="N80" s="350">
        <f t="shared" si="25"/>
        <v>30000</v>
      </c>
      <c r="O80" s="383" t="s">
        <v>277</v>
      </c>
      <c r="P80" s="350">
        <f t="shared" si="11"/>
        <v>30000</v>
      </c>
      <c r="Q80" s="304">
        <v>20000</v>
      </c>
      <c r="R80" s="304">
        <v>4000</v>
      </c>
      <c r="S80" s="304">
        <v>20000</v>
      </c>
      <c r="T80" s="66">
        <f t="shared" si="22"/>
        <v>24000</v>
      </c>
      <c r="U80" s="66">
        <f t="shared" si="23"/>
        <v>44000</v>
      </c>
      <c r="V80" s="66">
        <f t="shared" si="24"/>
        <v>74000</v>
      </c>
      <c r="W80" s="347"/>
      <c r="X80" s="66"/>
      <c r="Y80" s="295" t="s">
        <v>277</v>
      </c>
      <c r="Z80" s="352">
        <v>44000</v>
      </c>
      <c r="AA80" s="68">
        <v>70000</v>
      </c>
    </row>
    <row r="81" spans="1:27" ht="28.5">
      <c r="A81" s="236">
        <f t="shared" ref="A81:A121" si="26">A80+1</f>
        <v>129</v>
      </c>
      <c r="B81" s="237" t="s">
        <v>294</v>
      </c>
      <c r="C81" s="238"/>
      <c r="D81" s="347">
        <v>15000</v>
      </c>
      <c r="E81" s="347"/>
      <c r="F81" s="347">
        <v>3500</v>
      </c>
      <c r="G81" s="347">
        <v>0</v>
      </c>
      <c r="H81" s="347" t="s">
        <v>321</v>
      </c>
      <c r="I81" s="347"/>
      <c r="J81" s="347">
        <v>3500</v>
      </c>
      <c r="K81" s="347">
        <f t="shared" si="21"/>
        <v>3500</v>
      </c>
      <c r="L81" s="350">
        <v>20288</v>
      </c>
      <c r="M81" s="350">
        <v>17628</v>
      </c>
      <c r="N81" s="350">
        <f t="shared" si="25"/>
        <v>37916</v>
      </c>
      <c r="O81" s="369" t="s">
        <v>334</v>
      </c>
      <c r="P81" s="350">
        <f t="shared" si="11"/>
        <v>37916</v>
      </c>
      <c r="Q81" s="304">
        <v>12000</v>
      </c>
      <c r="R81" s="293">
        <v>20000</v>
      </c>
      <c r="S81" s="304">
        <v>12000</v>
      </c>
      <c r="T81" s="66">
        <f t="shared" si="22"/>
        <v>32000</v>
      </c>
      <c r="U81" s="66">
        <f t="shared" si="23"/>
        <v>44000</v>
      </c>
      <c r="V81" s="66">
        <f t="shared" si="24"/>
        <v>81916</v>
      </c>
      <c r="W81" s="347"/>
      <c r="X81" s="66"/>
      <c r="Y81" s="295" t="s">
        <v>334</v>
      </c>
      <c r="Z81" s="352">
        <v>44000</v>
      </c>
      <c r="AA81" s="68">
        <v>9000</v>
      </c>
    </row>
    <row r="82" spans="1:27" ht="26.95" customHeight="1">
      <c r="A82" s="236">
        <f t="shared" si="26"/>
        <v>130</v>
      </c>
      <c r="B82" s="237" t="s">
        <v>280</v>
      </c>
      <c r="C82" s="238"/>
      <c r="D82" s="347">
        <v>80000</v>
      </c>
      <c r="E82" s="347"/>
      <c r="F82" s="347">
        <v>26000</v>
      </c>
      <c r="G82" s="347">
        <v>19500</v>
      </c>
      <c r="H82" s="349" t="s">
        <v>335</v>
      </c>
      <c r="I82" s="347">
        <v>5000</v>
      </c>
      <c r="J82" s="347">
        <v>19000</v>
      </c>
      <c r="K82" s="347">
        <f t="shared" si="21"/>
        <v>19000</v>
      </c>
      <c r="L82" s="350"/>
      <c r="M82" s="350">
        <v>15000</v>
      </c>
      <c r="N82" s="350">
        <f t="shared" si="25"/>
        <v>15000</v>
      </c>
      <c r="O82" s="369" t="s">
        <v>336</v>
      </c>
      <c r="P82" s="350">
        <f t="shared" si="11"/>
        <v>15000</v>
      </c>
      <c r="Q82" s="293">
        <v>15000</v>
      </c>
      <c r="R82" s="293"/>
      <c r="S82" s="293">
        <v>15000</v>
      </c>
      <c r="T82" s="66">
        <f t="shared" si="22"/>
        <v>15000</v>
      </c>
      <c r="U82" s="66">
        <f t="shared" si="23"/>
        <v>30000</v>
      </c>
      <c r="V82" s="66">
        <f t="shared" si="24"/>
        <v>45000</v>
      </c>
      <c r="W82" s="347"/>
      <c r="X82" s="66"/>
      <c r="Y82" s="295" t="s">
        <v>336</v>
      </c>
      <c r="Z82" s="352">
        <v>30000</v>
      </c>
      <c r="AA82" s="68">
        <v>80000</v>
      </c>
    </row>
    <row r="83" spans="1:27">
      <c r="A83" s="236">
        <f t="shared" si="26"/>
        <v>131</v>
      </c>
      <c r="B83" s="237" t="s">
        <v>188</v>
      </c>
      <c r="C83" s="238"/>
      <c r="D83" s="347">
        <v>98750</v>
      </c>
      <c r="E83" s="347"/>
      <c r="F83" s="347">
        <v>32917</v>
      </c>
      <c r="G83" s="347">
        <v>15000</v>
      </c>
      <c r="H83" s="347" t="s">
        <v>337</v>
      </c>
      <c r="I83" s="347">
        <v>20288</v>
      </c>
      <c r="J83" s="347">
        <v>12628</v>
      </c>
      <c r="K83" s="347">
        <f t="shared" si="21"/>
        <v>12628</v>
      </c>
      <c r="L83" s="350"/>
      <c r="M83" s="350"/>
      <c r="N83" s="350">
        <f t="shared" si="25"/>
        <v>0</v>
      </c>
      <c r="O83" s="384"/>
      <c r="P83" s="350">
        <f t="shared" si="11"/>
        <v>0</v>
      </c>
      <c r="Q83" s="293"/>
      <c r="R83" s="293"/>
      <c r="S83" s="293"/>
      <c r="T83" s="66">
        <f t="shared" si="22"/>
        <v>0</v>
      </c>
      <c r="U83" s="66">
        <f t="shared" si="23"/>
        <v>0</v>
      </c>
      <c r="V83" s="66">
        <f t="shared" si="24"/>
        <v>0</v>
      </c>
      <c r="W83" s="347">
        <f t="shared" ref="W83:W95" si="27">E83+G83+K83</f>
        <v>27628</v>
      </c>
      <c r="X83" s="66"/>
      <c r="Y83" s="295"/>
      <c r="Z83" s="352">
        <v>0</v>
      </c>
      <c r="AA83" s="68">
        <v>98750</v>
      </c>
    </row>
    <row r="84" spans="1:27">
      <c r="A84" s="236" t="s">
        <v>338</v>
      </c>
      <c r="B84" s="237" t="s">
        <v>280</v>
      </c>
      <c r="C84" s="238"/>
      <c r="D84" s="347">
        <v>30000</v>
      </c>
      <c r="E84" s="347"/>
      <c r="F84" s="347">
        <v>12000</v>
      </c>
      <c r="G84" s="347">
        <v>3417</v>
      </c>
      <c r="H84" s="347" t="s">
        <v>339</v>
      </c>
      <c r="I84" s="347"/>
      <c r="J84" s="347">
        <v>6000</v>
      </c>
      <c r="K84" s="347">
        <f t="shared" si="21"/>
        <v>6000</v>
      </c>
      <c r="L84" s="350"/>
      <c r="M84" s="350"/>
      <c r="N84" s="350">
        <f t="shared" si="25"/>
        <v>0</v>
      </c>
      <c r="O84" s="384"/>
      <c r="P84" s="350">
        <f t="shared" si="11"/>
        <v>0</v>
      </c>
      <c r="Q84" s="293"/>
      <c r="R84" s="293"/>
      <c r="S84" s="293"/>
      <c r="T84" s="66">
        <f t="shared" si="22"/>
        <v>0</v>
      </c>
      <c r="U84" s="66">
        <f t="shared" si="23"/>
        <v>0</v>
      </c>
      <c r="V84" s="66">
        <f t="shared" si="24"/>
        <v>0</v>
      </c>
      <c r="W84" s="347">
        <f t="shared" si="27"/>
        <v>9417</v>
      </c>
      <c r="X84" s="66"/>
      <c r="Y84" s="295"/>
      <c r="Z84" s="352">
        <v>0</v>
      </c>
      <c r="AA84" s="68">
        <v>30000</v>
      </c>
    </row>
    <row r="85" spans="1:27">
      <c r="A85" s="236" t="s">
        <v>340</v>
      </c>
      <c r="B85" s="237" t="s">
        <v>188</v>
      </c>
      <c r="C85" s="238"/>
      <c r="D85" s="347"/>
      <c r="E85" s="347"/>
      <c r="F85" s="347"/>
      <c r="G85" s="347"/>
      <c r="H85" s="347"/>
      <c r="I85" s="347"/>
      <c r="J85" s="347"/>
      <c r="K85" s="347">
        <f>I86</f>
        <v>25288</v>
      </c>
      <c r="L85" s="350"/>
      <c r="M85" s="350"/>
      <c r="N85" s="350">
        <f t="shared" si="25"/>
        <v>0</v>
      </c>
      <c r="O85" s="384"/>
      <c r="P85" s="350">
        <f t="shared" si="11"/>
        <v>0</v>
      </c>
      <c r="Q85" s="293"/>
      <c r="R85" s="293"/>
      <c r="S85" s="293"/>
      <c r="T85" s="66">
        <f t="shared" si="22"/>
        <v>0</v>
      </c>
      <c r="U85" s="66">
        <f t="shared" si="23"/>
        <v>0</v>
      </c>
      <c r="V85" s="66">
        <f t="shared" si="24"/>
        <v>0</v>
      </c>
      <c r="W85" s="347">
        <f t="shared" si="27"/>
        <v>25288</v>
      </c>
      <c r="X85" s="66"/>
      <c r="Y85" s="295"/>
      <c r="Z85" s="352">
        <v>0</v>
      </c>
      <c r="AA85" s="68"/>
    </row>
    <row r="86" spans="1:27" ht="20.95" customHeight="1">
      <c r="A86" s="357">
        <v>133</v>
      </c>
      <c r="B86" s="345" t="s">
        <v>341</v>
      </c>
      <c r="C86" s="359">
        <f>330000+148000+40000</f>
        <v>518000</v>
      </c>
      <c r="D86" s="160">
        <v>458750</v>
      </c>
      <c r="E86" s="160">
        <v>188078</v>
      </c>
      <c r="F86" s="160">
        <f>SUM(F70:F84)</f>
        <v>174417</v>
      </c>
      <c r="G86" s="160">
        <f>SUM(G70:G84)</f>
        <v>83917</v>
      </c>
      <c r="H86" s="385" t="s">
        <v>342</v>
      </c>
      <c r="I86" s="160">
        <f t="shared" ref="I86:K86" si="28">SUM(I70:I85)</f>
        <v>25288</v>
      </c>
      <c r="J86" s="160">
        <f t="shared" si="28"/>
        <v>124128</v>
      </c>
      <c r="K86" s="160">
        <f t="shared" si="28"/>
        <v>149416</v>
      </c>
      <c r="L86" s="386">
        <f>SUM(L70:L85)</f>
        <v>25288</v>
      </c>
      <c r="M86" s="386">
        <f>SUM(M70:M85)</f>
        <v>175128</v>
      </c>
      <c r="N86" s="386">
        <f>SUM(N70:N85)</f>
        <v>200416</v>
      </c>
      <c r="O86" s="387"/>
      <c r="P86" s="386">
        <f t="shared" si="11"/>
        <v>200416</v>
      </c>
      <c r="Q86" s="388">
        <f t="shared" ref="Q86:S86" si="29">SUM(Q70:Q85)</f>
        <v>189500</v>
      </c>
      <c r="R86" s="388">
        <f t="shared" si="29"/>
        <v>24000</v>
      </c>
      <c r="S86" s="388">
        <f t="shared" si="29"/>
        <v>129500</v>
      </c>
      <c r="T86" s="388">
        <f t="shared" si="22"/>
        <v>153500</v>
      </c>
      <c r="U86" s="388">
        <f t="shared" si="23"/>
        <v>343000</v>
      </c>
      <c r="V86" s="388">
        <f t="shared" si="24"/>
        <v>543416</v>
      </c>
      <c r="W86" s="160">
        <f t="shared" si="27"/>
        <v>421411</v>
      </c>
      <c r="X86" s="388"/>
      <c r="Y86" s="389">
        <v>0</v>
      </c>
      <c r="Z86" s="390">
        <v>343000</v>
      </c>
      <c r="AA86" s="391">
        <v>458750</v>
      </c>
    </row>
    <row r="87" spans="1:27">
      <c r="A87" s="236">
        <f t="shared" si="26"/>
        <v>134</v>
      </c>
      <c r="B87" s="237"/>
      <c r="C87" s="238"/>
      <c r="D87" s="62"/>
      <c r="E87" s="62"/>
      <c r="F87" s="62"/>
      <c r="G87" s="62"/>
      <c r="H87" s="62"/>
      <c r="I87" s="62"/>
      <c r="J87" s="62"/>
      <c r="K87" s="62"/>
      <c r="L87" s="56"/>
      <c r="M87" s="56"/>
      <c r="N87" s="56">
        <f t="shared" ref="N87:N121" si="30">L87+M87</f>
        <v>0</v>
      </c>
      <c r="O87" s="77"/>
      <c r="P87" s="56">
        <f t="shared" si="11"/>
        <v>0</v>
      </c>
      <c r="Q87" s="293"/>
      <c r="R87" s="293"/>
      <c r="S87" s="293"/>
      <c r="T87" s="293">
        <f t="shared" si="22"/>
        <v>0</v>
      </c>
      <c r="U87" s="293">
        <f t="shared" si="23"/>
        <v>0</v>
      </c>
      <c r="V87" s="294">
        <f t="shared" si="24"/>
        <v>0</v>
      </c>
      <c r="W87" s="71">
        <f t="shared" si="27"/>
        <v>0</v>
      </c>
      <c r="X87" s="293"/>
      <c r="Y87" s="295"/>
      <c r="Z87" s="60"/>
      <c r="AA87" s="297"/>
    </row>
    <row r="88" spans="1:27">
      <c r="A88" s="291">
        <f t="shared" si="26"/>
        <v>135</v>
      </c>
      <c r="B88" s="345" t="s">
        <v>343</v>
      </c>
      <c r="L88" s="301"/>
      <c r="M88" s="301"/>
      <c r="N88" s="301">
        <f t="shared" si="30"/>
        <v>0</v>
      </c>
      <c r="O88" s="301"/>
      <c r="P88" s="301">
        <f t="shared" si="11"/>
        <v>0</v>
      </c>
      <c r="Q88" s="293"/>
      <c r="R88" s="293"/>
      <c r="S88" s="293"/>
      <c r="T88" s="293">
        <f t="shared" si="22"/>
        <v>0</v>
      </c>
      <c r="U88" s="293">
        <f t="shared" si="23"/>
        <v>0</v>
      </c>
      <c r="V88" s="294">
        <f t="shared" si="24"/>
        <v>0</v>
      </c>
      <c r="W88" s="71">
        <f t="shared" si="27"/>
        <v>0</v>
      </c>
      <c r="X88" s="293"/>
      <c r="Y88" s="295"/>
      <c r="AA88" s="297"/>
    </row>
    <row r="89" spans="1:27" s="367" customFormat="1" ht="27">
      <c r="A89" s="236">
        <f t="shared" si="26"/>
        <v>136</v>
      </c>
      <c r="B89" s="392" t="s">
        <v>344</v>
      </c>
      <c r="C89" s="238"/>
      <c r="D89" s="347">
        <v>80000</v>
      </c>
      <c r="E89" s="347"/>
      <c r="F89" s="347">
        <v>15000</v>
      </c>
      <c r="G89" s="347">
        <v>17000</v>
      </c>
      <c r="H89" s="347" t="s">
        <v>345</v>
      </c>
      <c r="I89" s="347"/>
      <c r="J89" s="347">
        <v>15000</v>
      </c>
      <c r="K89" s="347">
        <f>J89</f>
        <v>15000</v>
      </c>
      <c r="L89" s="350"/>
      <c r="M89" s="350">
        <v>41000</v>
      </c>
      <c r="N89" s="350">
        <f t="shared" si="30"/>
        <v>41000</v>
      </c>
      <c r="O89" s="384" t="s">
        <v>346</v>
      </c>
      <c r="P89" s="350">
        <f t="shared" si="11"/>
        <v>41000</v>
      </c>
      <c r="Q89" s="304">
        <v>45000</v>
      </c>
      <c r="R89" s="293"/>
      <c r="S89" s="304">
        <v>30000</v>
      </c>
      <c r="T89" s="66">
        <f t="shared" si="22"/>
        <v>30000</v>
      </c>
      <c r="U89" s="66">
        <f t="shared" si="23"/>
        <v>75000</v>
      </c>
      <c r="V89" s="66">
        <f t="shared" si="24"/>
        <v>116000</v>
      </c>
      <c r="W89" s="347">
        <f t="shared" si="27"/>
        <v>32000</v>
      </c>
      <c r="X89" s="66"/>
      <c r="Y89" s="295" t="s">
        <v>347</v>
      </c>
      <c r="Z89" s="352">
        <v>85000</v>
      </c>
      <c r="AA89" s="68">
        <v>30000</v>
      </c>
    </row>
    <row r="90" spans="1:27" ht="23.55" customHeight="1">
      <c r="A90" s="236">
        <f t="shared" si="26"/>
        <v>137</v>
      </c>
      <c r="B90" s="393" t="s">
        <v>348</v>
      </c>
      <c r="C90" s="238"/>
      <c r="D90" s="347">
        <v>40000</v>
      </c>
      <c r="E90" s="347"/>
      <c r="F90" s="347">
        <v>15500</v>
      </c>
      <c r="G90" s="347">
        <v>10000</v>
      </c>
      <c r="H90" s="349" t="s">
        <v>349</v>
      </c>
      <c r="I90" s="347"/>
      <c r="J90" s="347"/>
      <c r="K90" s="347">
        <f t="shared" ref="K90:K99" si="31">J90</f>
        <v>0</v>
      </c>
      <c r="L90" s="350"/>
      <c r="M90" s="350"/>
      <c r="N90" s="350">
        <f t="shared" si="30"/>
        <v>0</v>
      </c>
      <c r="O90" s="384" t="s">
        <v>350</v>
      </c>
      <c r="P90" s="350">
        <f t="shared" si="11"/>
        <v>0</v>
      </c>
      <c r="Q90" s="293"/>
      <c r="R90" s="293"/>
      <c r="S90" s="293"/>
      <c r="T90" s="66">
        <f t="shared" si="22"/>
        <v>0</v>
      </c>
      <c r="U90" s="66">
        <f t="shared" si="23"/>
        <v>0</v>
      </c>
      <c r="V90" s="66">
        <f t="shared" si="24"/>
        <v>0</v>
      </c>
      <c r="W90" s="347">
        <f t="shared" si="27"/>
        <v>10000</v>
      </c>
      <c r="X90" s="66"/>
      <c r="Y90" s="295" t="s">
        <v>350</v>
      </c>
      <c r="Z90" s="352">
        <v>0</v>
      </c>
      <c r="AA90" s="68">
        <v>40000.33</v>
      </c>
    </row>
    <row r="91" spans="1:27" ht="28.5">
      <c r="A91" s="236">
        <f t="shared" si="26"/>
        <v>138</v>
      </c>
      <c r="B91" s="394" t="s">
        <v>351</v>
      </c>
      <c r="C91" s="238"/>
      <c r="D91" s="347">
        <v>30000</v>
      </c>
      <c r="E91" s="347"/>
      <c r="F91" s="347">
        <v>3000</v>
      </c>
      <c r="G91" s="347">
        <v>3000</v>
      </c>
      <c r="H91" s="347"/>
      <c r="I91" s="347"/>
      <c r="J91" s="347">
        <v>6000</v>
      </c>
      <c r="K91" s="347">
        <f t="shared" si="31"/>
        <v>6000</v>
      </c>
      <c r="L91" s="350">
        <v>20000</v>
      </c>
      <c r="M91" s="350">
        <v>19000</v>
      </c>
      <c r="N91" s="350">
        <f t="shared" si="30"/>
        <v>39000</v>
      </c>
      <c r="O91" s="384" t="s">
        <v>352</v>
      </c>
      <c r="P91" s="350">
        <f t="shared" si="11"/>
        <v>39000</v>
      </c>
      <c r="Q91" s="304">
        <v>10500</v>
      </c>
      <c r="R91" s="304">
        <v>11000</v>
      </c>
      <c r="S91" s="304">
        <v>10500</v>
      </c>
      <c r="T91" s="66">
        <f t="shared" si="22"/>
        <v>21500</v>
      </c>
      <c r="U91" s="66">
        <f t="shared" si="23"/>
        <v>32000</v>
      </c>
      <c r="V91" s="66">
        <f t="shared" si="24"/>
        <v>71000</v>
      </c>
      <c r="W91" s="347">
        <f t="shared" si="27"/>
        <v>9000</v>
      </c>
      <c r="X91" s="66"/>
      <c r="Y91" s="295" t="s">
        <v>352</v>
      </c>
      <c r="Z91" s="352">
        <v>35000</v>
      </c>
      <c r="AA91" s="68">
        <v>15000</v>
      </c>
    </row>
    <row r="92" spans="1:27" ht="27">
      <c r="A92" s="236">
        <f t="shared" si="26"/>
        <v>139</v>
      </c>
      <c r="B92" s="395" t="s">
        <v>353</v>
      </c>
      <c r="C92" s="238"/>
      <c r="D92" s="347">
        <v>20000</v>
      </c>
      <c r="E92" s="347"/>
      <c r="F92" s="347"/>
      <c r="G92" s="347"/>
      <c r="H92" s="347"/>
      <c r="I92" s="347">
        <v>20000</v>
      </c>
      <c r="J92" s="347"/>
      <c r="K92" s="347">
        <f t="shared" si="31"/>
        <v>0</v>
      </c>
      <c r="L92" s="350"/>
      <c r="M92" s="350"/>
      <c r="N92" s="350">
        <f t="shared" si="30"/>
        <v>0</v>
      </c>
      <c r="O92" s="384" t="s">
        <v>350</v>
      </c>
      <c r="P92" s="350">
        <f t="shared" si="11"/>
        <v>0</v>
      </c>
      <c r="Q92" s="293"/>
      <c r="R92" s="293"/>
      <c r="S92" s="293"/>
      <c r="T92" s="66">
        <f t="shared" si="22"/>
        <v>0</v>
      </c>
      <c r="U92" s="66">
        <f t="shared" si="23"/>
        <v>0</v>
      </c>
      <c r="V92" s="66">
        <f t="shared" si="24"/>
        <v>0</v>
      </c>
      <c r="W92" s="347">
        <f t="shared" si="27"/>
        <v>0</v>
      </c>
      <c r="X92" s="66"/>
      <c r="Y92" s="295" t="s">
        <v>350</v>
      </c>
      <c r="Z92" s="352">
        <v>0</v>
      </c>
      <c r="AA92" s="68">
        <v>19999.66</v>
      </c>
    </row>
    <row r="93" spans="1:27">
      <c r="A93" s="236">
        <f t="shared" si="26"/>
        <v>140</v>
      </c>
      <c r="B93" s="395" t="s">
        <v>354</v>
      </c>
      <c r="C93" s="238"/>
      <c r="D93" s="347">
        <v>40000</v>
      </c>
      <c r="E93" s="347"/>
      <c r="F93" s="347">
        <v>37500</v>
      </c>
      <c r="G93" s="347">
        <v>13500</v>
      </c>
      <c r="H93" s="347" t="s">
        <v>355</v>
      </c>
      <c r="I93" s="347"/>
      <c r="J93" s="347"/>
      <c r="K93" s="347">
        <f t="shared" si="31"/>
        <v>0</v>
      </c>
      <c r="L93" s="350"/>
      <c r="M93" s="350">
        <v>65000</v>
      </c>
      <c r="N93" s="350">
        <f t="shared" si="30"/>
        <v>65000</v>
      </c>
      <c r="O93" s="384" t="s">
        <v>354</v>
      </c>
      <c r="P93" s="350">
        <f t="shared" ref="P93:P122" si="32">N93</f>
        <v>65000</v>
      </c>
      <c r="Q93" s="293">
        <v>5000</v>
      </c>
      <c r="R93" s="293"/>
      <c r="S93" s="304">
        <v>55000</v>
      </c>
      <c r="T93" s="66">
        <f t="shared" si="22"/>
        <v>55000</v>
      </c>
      <c r="U93" s="66">
        <f t="shared" si="23"/>
        <v>60000</v>
      </c>
      <c r="V93" s="66">
        <f t="shared" si="24"/>
        <v>125000</v>
      </c>
      <c r="W93" s="347">
        <f t="shared" si="27"/>
        <v>13500</v>
      </c>
      <c r="X93" s="66"/>
      <c r="Y93" s="295" t="s">
        <v>354</v>
      </c>
      <c r="Z93" s="352">
        <v>65000</v>
      </c>
      <c r="AA93" s="68">
        <v>47500</v>
      </c>
    </row>
    <row r="94" spans="1:27">
      <c r="A94" s="236">
        <f t="shared" si="26"/>
        <v>141</v>
      </c>
      <c r="B94" s="395" t="s">
        <v>356</v>
      </c>
      <c r="C94" s="238"/>
      <c r="D94" s="347">
        <v>60000</v>
      </c>
      <c r="E94" s="347"/>
      <c r="F94" s="347">
        <v>20000</v>
      </c>
      <c r="G94" s="347">
        <v>8000</v>
      </c>
      <c r="H94" s="347" t="s">
        <v>357</v>
      </c>
      <c r="I94" s="347"/>
      <c r="J94" s="347">
        <v>20000</v>
      </c>
      <c r="K94" s="347">
        <f t="shared" si="31"/>
        <v>20000</v>
      </c>
      <c r="L94" s="350"/>
      <c r="M94" s="350"/>
      <c r="N94" s="350">
        <f t="shared" si="30"/>
        <v>0</v>
      </c>
      <c r="O94" s="384" t="s">
        <v>350</v>
      </c>
      <c r="P94" s="350">
        <f t="shared" si="32"/>
        <v>0</v>
      </c>
      <c r="Q94" s="293"/>
      <c r="R94" s="293"/>
      <c r="S94" s="293"/>
      <c r="T94" s="66">
        <f t="shared" si="22"/>
        <v>0</v>
      </c>
      <c r="U94" s="66">
        <f t="shared" si="23"/>
        <v>0</v>
      </c>
      <c r="V94" s="66">
        <f t="shared" si="24"/>
        <v>0</v>
      </c>
      <c r="W94" s="347">
        <f t="shared" si="27"/>
        <v>28000</v>
      </c>
      <c r="X94" s="66"/>
      <c r="Y94" s="295" t="s">
        <v>350</v>
      </c>
      <c r="Z94" s="352">
        <v>0</v>
      </c>
      <c r="AA94" s="68">
        <v>67500</v>
      </c>
    </row>
    <row r="95" spans="1:27">
      <c r="A95" s="236">
        <f t="shared" si="26"/>
        <v>142</v>
      </c>
      <c r="B95" s="395" t="s">
        <v>164</v>
      </c>
      <c r="C95" s="238"/>
      <c r="D95" s="347"/>
      <c r="E95" s="347"/>
      <c r="F95" s="347"/>
      <c r="G95" s="347"/>
      <c r="H95" s="347"/>
      <c r="I95" s="347"/>
      <c r="J95" s="347"/>
      <c r="K95" s="347">
        <f t="shared" si="31"/>
        <v>0</v>
      </c>
      <c r="L95" s="350"/>
      <c r="M95" s="350"/>
      <c r="N95" s="350">
        <f t="shared" si="30"/>
        <v>0</v>
      </c>
      <c r="O95" s="384"/>
      <c r="P95" s="350">
        <f t="shared" si="32"/>
        <v>0</v>
      </c>
      <c r="Q95" s="293"/>
      <c r="R95" s="293"/>
      <c r="S95" s="293"/>
      <c r="T95" s="66">
        <f t="shared" si="22"/>
        <v>0</v>
      </c>
      <c r="U95" s="66">
        <f t="shared" si="23"/>
        <v>0</v>
      </c>
      <c r="V95" s="66">
        <f t="shared" si="24"/>
        <v>0</v>
      </c>
      <c r="W95" s="347">
        <f t="shared" si="27"/>
        <v>0</v>
      </c>
      <c r="X95" s="66"/>
      <c r="Y95" s="295"/>
      <c r="Z95" s="352">
        <v>0</v>
      </c>
      <c r="AA95" s="68">
        <v>0</v>
      </c>
    </row>
    <row r="96" spans="1:27">
      <c r="A96" s="236">
        <f t="shared" si="26"/>
        <v>143</v>
      </c>
      <c r="B96" s="396" t="s">
        <v>358</v>
      </c>
      <c r="C96" s="238"/>
      <c r="D96" s="347">
        <v>140000</v>
      </c>
      <c r="E96" s="347"/>
      <c r="F96" s="347">
        <v>46667</v>
      </c>
      <c r="G96" s="347">
        <v>20000</v>
      </c>
      <c r="H96" s="347" t="s">
        <v>359</v>
      </c>
      <c r="I96" s="347">
        <v>10000</v>
      </c>
      <c r="J96" s="347">
        <v>32666</v>
      </c>
      <c r="K96" s="347">
        <f t="shared" si="31"/>
        <v>32666</v>
      </c>
      <c r="L96" s="350">
        <v>10000</v>
      </c>
      <c r="M96" s="350">
        <v>35000</v>
      </c>
      <c r="N96" s="350">
        <f t="shared" si="30"/>
        <v>45000</v>
      </c>
      <c r="O96" s="384" t="s">
        <v>360</v>
      </c>
      <c r="P96" s="350">
        <f t="shared" si="32"/>
        <v>45000</v>
      </c>
      <c r="Q96" s="304">
        <v>31000</v>
      </c>
      <c r="R96" s="304">
        <v>15000</v>
      </c>
      <c r="S96" s="304">
        <v>31000</v>
      </c>
      <c r="T96" s="66">
        <f t="shared" si="22"/>
        <v>46000</v>
      </c>
      <c r="U96" s="66">
        <f t="shared" si="23"/>
        <v>77000</v>
      </c>
      <c r="V96" s="66">
        <f t="shared" si="24"/>
        <v>122000</v>
      </c>
      <c r="W96" s="347"/>
      <c r="X96" s="66"/>
      <c r="Y96" s="295" t="s">
        <v>360</v>
      </c>
      <c r="Z96" s="352">
        <v>77000</v>
      </c>
      <c r="AA96" s="68">
        <v>139999.66</v>
      </c>
    </row>
    <row r="97" spans="1:27">
      <c r="A97" s="236">
        <f t="shared" si="26"/>
        <v>144</v>
      </c>
      <c r="B97" s="237" t="s">
        <v>294</v>
      </c>
      <c r="C97" s="238"/>
      <c r="D97" s="347">
        <v>98750</v>
      </c>
      <c r="E97" s="347"/>
      <c r="F97" s="347">
        <v>32917</v>
      </c>
      <c r="G97" s="347">
        <v>15000</v>
      </c>
      <c r="H97" s="347" t="s">
        <v>298</v>
      </c>
      <c r="I97" s="347">
        <v>20288</v>
      </c>
      <c r="J97" s="347">
        <v>12629</v>
      </c>
      <c r="K97" s="347">
        <f t="shared" si="31"/>
        <v>12629</v>
      </c>
      <c r="L97" s="350">
        <v>20288</v>
      </c>
      <c r="M97" s="350">
        <v>17628</v>
      </c>
      <c r="N97" s="350">
        <f t="shared" si="30"/>
        <v>37916</v>
      </c>
      <c r="O97" s="384" t="s">
        <v>275</v>
      </c>
      <c r="P97" s="350">
        <f t="shared" si="32"/>
        <v>37916</v>
      </c>
      <c r="Q97" s="304">
        <v>12000</v>
      </c>
      <c r="R97" s="293">
        <v>20000</v>
      </c>
      <c r="S97" s="304">
        <v>12000</v>
      </c>
      <c r="T97" s="66">
        <f t="shared" si="22"/>
        <v>32000</v>
      </c>
      <c r="U97" s="66">
        <f t="shared" si="23"/>
        <v>44000</v>
      </c>
      <c r="V97" s="66">
        <f t="shared" si="24"/>
        <v>81916</v>
      </c>
      <c r="W97" s="347"/>
      <c r="X97" s="66"/>
      <c r="Y97" s="295" t="s">
        <v>275</v>
      </c>
      <c r="Z97" s="352">
        <v>44000</v>
      </c>
      <c r="AA97" s="68">
        <v>98750</v>
      </c>
    </row>
    <row r="98" spans="1:27">
      <c r="A98" s="236">
        <f t="shared" si="26"/>
        <v>145</v>
      </c>
      <c r="B98" s="237" t="s">
        <v>280</v>
      </c>
      <c r="C98" s="238"/>
      <c r="D98" s="347">
        <v>30000</v>
      </c>
      <c r="E98" s="347"/>
      <c r="F98" s="347">
        <v>40000</v>
      </c>
      <c r="G98" s="347">
        <v>30000</v>
      </c>
      <c r="H98" s="347" t="s">
        <v>361</v>
      </c>
      <c r="I98" s="347"/>
      <c r="J98" s="347">
        <v>26000</v>
      </c>
      <c r="K98" s="347">
        <f t="shared" si="31"/>
        <v>26000</v>
      </c>
      <c r="L98" s="350"/>
      <c r="M98" s="350">
        <v>15000</v>
      </c>
      <c r="N98" s="350">
        <f t="shared" si="30"/>
        <v>15000</v>
      </c>
      <c r="O98" s="384"/>
      <c r="P98" s="350">
        <f t="shared" si="32"/>
        <v>15000</v>
      </c>
      <c r="Q98" s="304">
        <v>12500</v>
      </c>
      <c r="R98" s="293"/>
      <c r="S98" s="304">
        <v>12500</v>
      </c>
      <c r="T98" s="66">
        <f t="shared" si="22"/>
        <v>12500</v>
      </c>
      <c r="U98" s="66">
        <f t="shared" si="23"/>
        <v>25000</v>
      </c>
      <c r="V98" s="66">
        <f t="shared" si="24"/>
        <v>40000</v>
      </c>
      <c r="W98" s="347"/>
      <c r="X98" s="66"/>
      <c r="Y98" s="295"/>
      <c r="Z98" s="352">
        <v>25000</v>
      </c>
      <c r="AA98" s="68">
        <v>79999.66</v>
      </c>
    </row>
    <row r="99" spans="1:27">
      <c r="A99" s="236" t="s">
        <v>362</v>
      </c>
      <c r="B99" s="237" t="s">
        <v>363</v>
      </c>
      <c r="C99" s="238"/>
      <c r="D99" s="347">
        <v>18000</v>
      </c>
      <c r="E99" s="347"/>
      <c r="F99" s="347">
        <v>0</v>
      </c>
      <c r="G99" s="347">
        <v>10083</v>
      </c>
      <c r="H99" s="347"/>
      <c r="I99" s="347"/>
      <c r="J99" s="347"/>
      <c r="K99" s="347">
        <f t="shared" si="31"/>
        <v>0</v>
      </c>
      <c r="L99" s="350"/>
      <c r="M99" s="350">
        <v>15000</v>
      </c>
      <c r="N99" s="350">
        <f t="shared" si="30"/>
        <v>15000</v>
      </c>
      <c r="O99" s="384"/>
      <c r="P99" s="350">
        <f t="shared" si="32"/>
        <v>15000</v>
      </c>
      <c r="Q99" s="293">
        <v>15000</v>
      </c>
      <c r="R99" s="293"/>
      <c r="S99" s="293">
        <v>15000</v>
      </c>
      <c r="T99" s="66">
        <f t="shared" si="22"/>
        <v>15000</v>
      </c>
      <c r="U99" s="66">
        <f t="shared" si="23"/>
        <v>30000</v>
      </c>
      <c r="V99" s="66">
        <f t="shared" si="24"/>
        <v>45000</v>
      </c>
      <c r="W99" s="347"/>
      <c r="X99" s="66"/>
      <c r="Y99" s="295"/>
      <c r="Z99" s="352">
        <v>30000</v>
      </c>
      <c r="AA99" s="68">
        <v>18000</v>
      </c>
    </row>
    <row r="100" spans="1:27">
      <c r="A100" s="236" t="s">
        <v>364</v>
      </c>
      <c r="B100" s="237" t="s">
        <v>188</v>
      </c>
      <c r="C100" s="238"/>
      <c r="D100" s="347"/>
      <c r="E100" s="347"/>
      <c r="F100" s="347"/>
      <c r="G100" s="347"/>
      <c r="H100" s="347"/>
      <c r="I100" s="347"/>
      <c r="J100" s="347"/>
      <c r="K100" s="347">
        <f>I101</f>
        <v>50288</v>
      </c>
      <c r="L100" s="350"/>
      <c r="M100" s="350"/>
      <c r="N100" s="350">
        <f t="shared" si="30"/>
        <v>0</v>
      </c>
      <c r="O100" s="384"/>
      <c r="P100" s="350">
        <f t="shared" si="32"/>
        <v>0</v>
      </c>
      <c r="Q100" s="293"/>
      <c r="R100" s="293"/>
      <c r="S100" s="293"/>
      <c r="T100" s="66">
        <f t="shared" si="22"/>
        <v>0</v>
      </c>
      <c r="U100" s="66">
        <f t="shared" si="23"/>
        <v>0</v>
      </c>
      <c r="V100" s="66">
        <f t="shared" si="24"/>
        <v>0</v>
      </c>
      <c r="W100" s="347"/>
      <c r="X100" s="66"/>
      <c r="Y100" s="295"/>
      <c r="Z100" s="352">
        <v>0</v>
      </c>
      <c r="AA100" s="68"/>
    </row>
    <row r="101" spans="1:27">
      <c r="A101" s="357">
        <v>147</v>
      </c>
      <c r="B101" s="345" t="s">
        <v>365</v>
      </c>
      <c r="C101" s="359">
        <f>430000+50000+40000</f>
        <v>520000</v>
      </c>
      <c r="D101" s="370">
        <v>556750</v>
      </c>
      <c r="E101" s="370">
        <v>261904</v>
      </c>
      <c r="F101" s="370">
        <f>SUM(F89:F99)</f>
        <v>210584</v>
      </c>
      <c r="G101" s="370">
        <f>SUM(G89:G99)</f>
        <v>126583</v>
      </c>
      <c r="H101" s="370" t="s">
        <v>262</v>
      </c>
      <c r="I101" s="370">
        <f t="shared" ref="I101:K101" si="33">SUM(I89:I100)</f>
        <v>50288</v>
      </c>
      <c r="J101" s="370">
        <f t="shared" si="33"/>
        <v>112295</v>
      </c>
      <c r="K101" s="370">
        <f t="shared" si="33"/>
        <v>162583</v>
      </c>
      <c r="L101" s="371">
        <f>SUM(L89:L100)</f>
        <v>50288</v>
      </c>
      <c r="M101" s="371">
        <f t="shared" ref="M101:N101" si="34">SUM(M89:M100)</f>
        <v>207628</v>
      </c>
      <c r="N101" s="371">
        <f t="shared" si="34"/>
        <v>257916</v>
      </c>
      <c r="O101" s="397"/>
      <c r="P101" s="371">
        <f t="shared" si="32"/>
        <v>257916</v>
      </c>
      <c r="Q101" s="373">
        <f t="shared" ref="Q101:S101" si="35">SUM(Q89:Q100)</f>
        <v>131000</v>
      </c>
      <c r="R101" s="373">
        <f t="shared" si="35"/>
        <v>46000</v>
      </c>
      <c r="S101" s="373">
        <f t="shared" si="35"/>
        <v>166000</v>
      </c>
      <c r="T101" s="373">
        <f t="shared" si="22"/>
        <v>212000</v>
      </c>
      <c r="U101" s="373">
        <f t="shared" si="23"/>
        <v>343000</v>
      </c>
      <c r="V101" s="373">
        <f t="shared" si="24"/>
        <v>600916</v>
      </c>
      <c r="W101" s="370">
        <f>E101+G101+K101</f>
        <v>551070</v>
      </c>
      <c r="X101" s="373"/>
      <c r="Y101" s="398">
        <v>0</v>
      </c>
      <c r="Z101" s="375">
        <v>361000</v>
      </c>
      <c r="AA101" s="399">
        <v>556749.31000000006</v>
      </c>
    </row>
    <row r="102" spans="1:27">
      <c r="A102" s="236">
        <f t="shared" si="26"/>
        <v>148</v>
      </c>
      <c r="B102" s="237"/>
      <c r="C102" s="238"/>
      <c r="D102" s="347"/>
      <c r="E102" s="347"/>
      <c r="F102" s="347"/>
      <c r="G102" s="347"/>
      <c r="H102" s="347"/>
      <c r="I102" s="347"/>
      <c r="J102" s="347"/>
      <c r="K102" s="347"/>
      <c r="L102" s="350"/>
      <c r="M102" s="350"/>
      <c r="N102" s="350">
        <f t="shared" si="30"/>
        <v>0</v>
      </c>
      <c r="O102" s="384"/>
      <c r="P102" s="350">
        <f t="shared" si="32"/>
        <v>0</v>
      </c>
      <c r="Q102" s="293"/>
      <c r="R102" s="293"/>
      <c r="S102" s="293"/>
      <c r="T102" s="293">
        <f t="shared" si="22"/>
        <v>0</v>
      </c>
      <c r="U102" s="293">
        <f t="shared" si="23"/>
        <v>0</v>
      </c>
      <c r="V102" s="294">
        <f t="shared" si="24"/>
        <v>0</v>
      </c>
      <c r="W102" s="71">
        <f>E102+G102+K102</f>
        <v>0</v>
      </c>
      <c r="X102" s="293"/>
      <c r="Y102" s="295"/>
      <c r="Z102" s="352"/>
      <c r="AA102" s="297">
        <v>0</v>
      </c>
    </row>
    <row r="103" spans="1:27">
      <c r="A103" s="236">
        <f t="shared" si="26"/>
        <v>149</v>
      </c>
      <c r="B103" s="237" t="s">
        <v>366</v>
      </c>
      <c r="C103" s="238">
        <v>90000</v>
      </c>
      <c r="D103" s="347">
        <v>120000</v>
      </c>
      <c r="E103" s="347">
        <v>0</v>
      </c>
      <c r="F103" s="347">
        <v>40000</v>
      </c>
      <c r="G103" s="347">
        <v>20000</v>
      </c>
      <c r="H103" s="349"/>
      <c r="I103" s="347"/>
      <c r="J103" s="347"/>
      <c r="K103" s="347"/>
      <c r="L103" s="350"/>
      <c r="M103" s="350"/>
      <c r="N103" s="350">
        <f t="shared" si="30"/>
        <v>0</v>
      </c>
      <c r="O103" s="384"/>
      <c r="P103" s="350">
        <f t="shared" si="32"/>
        <v>0</v>
      </c>
      <c r="Q103" s="293"/>
      <c r="R103" s="293"/>
      <c r="S103" s="293"/>
      <c r="T103" s="66">
        <f t="shared" si="22"/>
        <v>0</v>
      </c>
      <c r="U103" s="66">
        <f t="shared" si="23"/>
        <v>0</v>
      </c>
      <c r="V103" s="66">
        <f t="shared" si="24"/>
        <v>0</v>
      </c>
      <c r="W103" s="347"/>
      <c r="X103" s="66"/>
      <c r="Y103" s="295"/>
      <c r="Z103" s="352">
        <v>0</v>
      </c>
      <c r="AA103" s="68">
        <v>120000</v>
      </c>
    </row>
    <row r="104" spans="1:27" s="367" customFormat="1">
      <c r="A104" s="236">
        <f t="shared" si="26"/>
        <v>150</v>
      </c>
      <c r="B104" s="237" t="s">
        <v>190</v>
      </c>
      <c r="C104" s="400">
        <f>'[4]Salary Summary GC Adopted'!Y18</f>
        <v>2256727.1986439303</v>
      </c>
      <c r="D104" s="347">
        <v>2951844.3671114263</v>
      </c>
      <c r="E104" s="347">
        <v>919448</v>
      </c>
      <c r="F104" s="347">
        <f>'[3]Salary Summary 19 for 2019-2021'!L20</f>
        <v>1017684.3625295191</v>
      </c>
      <c r="G104" s="347">
        <f>F104</f>
        <v>1017684.3625295191</v>
      </c>
      <c r="H104" s="347"/>
      <c r="I104" s="347"/>
      <c r="J104" s="347">
        <f>'[3]Salary Summary 20 for 2019-2021'!P20</f>
        <v>1045016.161599328</v>
      </c>
      <c r="K104" s="347">
        <f>J104</f>
        <v>1045016.161599328</v>
      </c>
      <c r="L104" s="350"/>
      <c r="M104" s="350">
        <f>'Salary Summary 21 for 2022-2024'!M21</f>
        <v>1076159.0112307267</v>
      </c>
      <c r="N104" s="350">
        <f t="shared" si="30"/>
        <v>1076159.0112307267</v>
      </c>
      <c r="O104" s="384"/>
      <c r="P104" s="350">
        <f t="shared" si="32"/>
        <v>1076159.0112307267</v>
      </c>
      <c r="Q104" s="401">
        <f>'Salary Summary 21 for 2022-2024'!Q21</f>
        <v>1112606.7286982294</v>
      </c>
      <c r="R104" s="401"/>
      <c r="S104" s="401">
        <f>'Salary Summary 21 for 2022-2024'!U21</f>
        <v>1148301.6819718804</v>
      </c>
      <c r="T104" s="401">
        <f t="shared" si="22"/>
        <v>1148301.6819718804</v>
      </c>
      <c r="U104" s="401">
        <f t="shared" si="23"/>
        <v>2260908.41067011</v>
      </c>
      <c r="V104" s="401">
        <f t="shared" si="24"/>
        <v>3337067.4219008368</v>
      </c>
      <c r="W104" s="347">
        <f>E104+G104+K104</f>
        <v>2982148.5241288468</v>
      </c>
      <c r="X104" s="401"/>
      <c r="Y104" s="402"/>
      <c r="Z104" s="352">
        <v>2296603.3639437607</v>
      </c>
      <c r="AA104" s="403">
        <v>3106097.4114529826</v>
      </c>
    </row>
    <row r="105" spans="1:27">
      <c r="A105" s="313">
        <f t="shared" si="26"/>
        <v>151</v>
      </c>
      <c r="B105" s="404" t="s">
        <v>367</v>
      </c>
      <c r="C105" s="405">
        <f>SUM(C103:C104)+C101+C86+C67+C57</f>
        <v>4380727.1986439303</v>
      </c>
      <c r="D105" s="405">
        <f t="shared" ref="D105:G105" si="36">D104+D103+D101+D86+D67+D57+D102</f>
        <v>4939844.3671114258</v>
      </c>
      <c r="E105" s="405">
        <f t="shared" si="36"/>
        <v>1707947</v>
      </c>
      <c r="F105" s="405">
        <f t="shared" si="36"/>
        <v>1681769.362529519</v>
      </c>
      <c r="G105" s="405">
        <f t="shared" si="36"/>
        <v>1427769.362529519</v>
      </c>
      <c r="H105" s="405"/>
      <c r="I105" s="405">
        <f t="shared" ref="I105:M105" si="37">I104+I103+I101+I86+I67+I57</f>
        <v>131152</v>
      </c>
      <c r="J105" s="405">
        <f t="shared" si="37"/>
        <v>1538195.161599328</v>
      </c>
      <c r="K105" s="405">
        <f t="shared" si="37"/>
        <v>1669347.161599328</v>
      </c>
      <c r="L105" s="406">
        <f t="shared" si="37"/>
        <v>131152</v>
      </c>
      <c r="M105" s="406">
        <f t="shared" si="37"/>
        <v>1779170.0112307267</v>
      </c>
      <c r="N105" s="406">
        <f t="shared" si="30"/>
        <v>1910322.0112307267</v>
      </c>
      <c r="O105" s="407"/>
      <c r="P105" s="406">
        <f t="shared" si="32"/>
        <v>1910322.0112307267</v>
      </c>
      <c r="Q105" s="408">
        <f>Q104+Q103+Q101+Q86+Q67+Q57</f>
        <v>1692106.7286982294</v>
      </c>
      <c r="R105" s="408">
        <f t="shared" ref="R105:S105" si="38">R104+R103+R101+R86+R67+R57</f>
        <v>125000</v>
      </c>
      <c r="S105" s="408">
        <f t="shared" si="38"/>
        <v>1722801.6819718804</v>
      </c>
      <c r="T105" s="408">
        <f t="shared" si="22"/>
        <v>1847801.6819718804</v>
      </c>
      <c r="U105" s="408">
        <f t="shared" si="23"/>
        <v>3539908.41067011</v>
      </c>
      <c r="V105" s="408">
        <f t="shared" si="24"/>
        <v>5450230.4219008368</v>
      </c>
      <c r="W105" s="405">
        <f>E105+G105+K105</f>
        <v>4805063.5241288468</v>
      </c>
      <c r="X105" s="408"/>
      <c r="Y105" s="409"/>
      <c r="Z105" s="410">
        <v>3603603.3639437607</v>
      </c>
      <c r="AA105" s="411">
        <v>5094096.7214529831</v>
      </c>
    </row>
    <row r="106" spans="1:27">
      <c r="A106" s="236">
        <f t="shared" si="26"/>
        <v>152</v>
      </c>
      <c r="C106" s="63"/>
      <c r="D106" s="63"/>
      <c r="E106" s="63"/>
      <c r="F106" s="63"/>
      <c r="G106" s="63"/>
      <c r="H106" s="63" t="s">
        <v>368</v>
      </c>
      <c r="I106" s="63"/>
      <c r="J106" s="63"/>
      <c r="K106" s="63"/>
      <c r="L106" s="77"/>
      <c r="M106" s="77"/>
      <c r="N106" s="77">
        <f t="shared" si="30"/>
        <v>0</v>
      </c>
      <c r="O106" s="77"/>
      <c r="P106" s="77">
        <f t="shared" si="32"/>
        <v>0</v>
      </c>
      <c r="Q106" s="293"/>
      <c r="R106" s="293"/>
      <c r="S106" s="293"/>
      <c r="T106" s="293">
        <f t="shared" si="22"/>
        <v>0</v>
      </c>
      <c r="U106" s="293">
        <f t="shared" si="23"/>
        <v>0</v>
      </c>
      <c r="V106" s="294">
        <f t="shared" si="24"/>
        <v>0</v>
      </c>
      <c r="W106" s="71">
        <f>E106+G106+K106</f>
        <v>0</v>
      </c>
      <c r="X106" s="293"/>
      <c r="Y106" s="295"/>
      <c r="Z106" s="296"/>
      <c r="AA106" s="297"/>
    </row>
    <row r="107" spans="1:27">
      <c r="C107" s="63"/>
      <c r="D107" s="63"/>
      <c r="E107" s="63"/>
      <c r="F107" s="63"/>
      <c r="G107" s="63"/>
      <c r="H107" s="63"/>
      <c r="I107" s="63"/>
      <c r="J107" s="63"/>
      <c r="K107" s="63"/>
      <c r="L107" s="77"/>
      <c r="M107" s="77"/>
      <c r="N107" s="77">
        <f t="shared" si="30"/>
        <v>0</v>
      </c>
      <c r="O107" s="77"/>
      <c r="P107" s="77">
        <f t="shared" si="32"/>
        <v>0</v>
      </c>
      <c r="Q107" s="293"/>
      <c r="R107" s="293"/>
      <c r="S107" s="293"/>
      <c r="T107" s="293">
        <f t="shared" si="22"/>
        <v>0</v>
      </c>
      <c r="U107" s="293">
        <f t="shared" si="23"/>
        <v>0</v>
      </c>
      <c r="V107" s="294">
        <f t="shared" si="24"/>
        <v>0</v>
      </c>
      <c r="W107" s="71">
        <f>E107+G107+K107</f>
        <v>0</v>
      </c>
      <c r="X107" s="293"/>
      <c r="Y107" s="295"/>
      <c r="Z107" s="296"/>
      <c r="AA107" s="297"/>
    </row>
    <row r="108" spans="1:27">
      <c r="A108" s="236">
        <f>A106+1</f>
        <v>153</v>
      </c>
      <c r="B108" s="299" t="s">
        <v>369</v>
      </c>
      <c r="C108" s="238">
        <v>1645000</v>
      </c>
      <c r="D108" s="62">
        <v>1645000</v>
      </c>
      <c r="E108" s="70">
        <v>1096667</v>
      </c>
      <c r="F108" s="70" t="e">
        <f>#REF!/2</f>
        <v>#REF!</v>
      </c>
      <c r="G108" s="70">
        <v>274167</v>
      </c>
      <c r="H108" s="75"/>
      <c r="I108" s="75"/>
      <c r="J108" s="75">
        <v>274166.66666666669</v>
      </c>
      <c r="K108" s="70">
        <f>J108</f>
        <v>274166.66666666669</v>
      </c>
      <c r="L108" s="412"/>
      <c r="M108" s="413"/>
      <c r="N108" s="413">
        <f t="shared" si="30"/>
        <v>0</v>
      </c>
      <c r="O108" s="323"/>
      <c r="P108" s="413">
        <f t="shared" si="32"/>
        <v>0</v>
      </c>
      <c r="Q108" s="293"/>
      <c r="R108" s="293"/>
      <c r="S108" s="293"/>
      <c r="T108" s="293">
        <f t="shared" si="22"/>
        <v>0</v>
      </c>
      <c r="U108" s="293">
        <f t="shared" si="23"/>
        <v>0</v>
      </c>
      <c r="V108" s="294">
        <f t="shared" si="24"/>
        <v>0</v>
      </c>
      <c r="W108" s="70">
        <f>E108+G108+K108</f>
        <v>1645000.6666666667</v>
      </c>
      <c r="X108" s="293"/>
      <c r="Y108" s="295"/>
      <c r="Z108" s="414"/>
      <c r="AA108" s="297"/>
    </row>
    <row r="109" spans="1:27" ht="28.5">
      <c r="A109" s="236" t="s">
        <v>370</v>
      </c>
      <c r="B109" s="299" t="s">
        <v>371</v>
      </c>
      <c r="C109" s="238"/>
      <c r="D109" s="62"/>
      <c r="E109" s="70"/>
      <c r="F109" s="70"/>
      <c r="G109" s="70"/>
      <c r="H109" s="75"/>
      <c r="I109" s="75"/>
      <c r="J109" s="75"/>
      <c r="K109" s="70"/>
      <c r="L109" s="412"/>
      <c r="M109" s="413">
        <v>274166.5</v>
      </c>
      <c r="N109" s="413">
        <f t="shared" si="30"/>
        <v>274166.5</v>
      </c>
      <c r="O109" s="323" t="s">
        <v>372</v>
      </c>
      <c r="P109" s="413">
        <f t="shared" si="32"/>
        <v>274166.5</v>
      </c>
      <c r="Q109" s="293">
        <v>274166.5</v>
      </c>
      <c r="R109" s="293"/>
      <c r="S109" s="293">
        <v>274167</v>
      </c>
      <c r="T109" s="293">
        <f t="shared" si="22"/>
        <v>274167</v>
      </c>
      <c r="U109" s="293">
        <f t="shared" si="23"/>
        <v>548333.5</v>
      </c>
      <c r="V109" s="294">
        <f t="shared" si="24"/>
        <v>822500</v>
      </c>
      <c r="W109" s="70"/>
      <c r="X109" s="293"/>
      <c r="Y109" s="295" t="s">
        <v>372</v>
      </c>
      <c r="Z109" s="414">
        <v>548333.5</v>
      </c>
      <c r="AA109" s="297">
        <v>822500</v>
      </c>
    </row>
    <row r="110" spans="1:27" ht="42.75">
      <c r="A110" s="236" t="s">
        <v>373</v>
      </c>
      <c r="B110" s="299" t="s">
        <v>374</v>
      </c>
      <c r="C110" s="238"/>
      <c r="D110" s="62"/>
      <c r="E110" s="70"/>
      <c r="F110" s="70"/>
      <c r="G110" s="70"/>
      <c r="H110" s="75"/>
      <c r="I110" s="75"/>
      <c r="J110" s="75"/>
      <c r="K110" s="70"/>
      <c r="L110" s="412"/>
      <c r="M110" s="413">
        <f>M109</f>
        <v>274166.5</v>
      </c>
      <c r="N110" s="413">
        <f t="shared" si="30"/>
        <v>274166.5</v>
      </c>
      <c r="O110" s="323" t="s">
        <v>375</v>
      </c>
      <c r="P110" s="413">
        <f t="shared" si="32"/>
        <v>274166.5</v>
      </c>
      <c r="Q110" s="293">
        <f>Q109</f>
        <v>274166.5</v>
      </c>
      <c r="R110" s="293"/>
      <c r="S110" s="293">
        <f>S109</f>
        <v>274167</v>
      </c>
      <c r="T110" s="293">
        <f t="shared" si="22"/>
        <v>274167</v>
      </c>
      <c r="U110" s="293">
        <f t="shared" si="23"/>
        <v>548333.5</v>
      </c>
      <c r="V110" s="294">
        <f t="shared" si="24"/>
        <v>822500</v>
      </c>
      <c r="W110" s="70"/>
      <c r="X110" s="293"/>
      <c r="Y110" s="295" t="s">
        <v>375</v>
      </c>
      <c r="Z110" s="414">
        <v>548333.5</v>
      </c>
      <c r="AA110" s="297">
        <v>822500</v>
      </c>
    </row>
    <row r="111" spans="1:27" s="310" customFormat="1" ht="42.75">
      <c r="A111" s="236">
        <f>A108+1</f>
        <v>154</v>
      </c>
      <c r="B111" s="299" t="s">
        <v>376</v>
      </c>
      <c r="C111" s="238">
        <v>400000</v>
      </c>
      <c r="D111" s="62">
        <v>400000</v>
      </c>
      <c r="E111" s="70">
        <v>307159</v>
      </c>
      <c r="F111" s="70">
        <v>50000</v>
      </c>
      <c r="G111" s="70">
        <v>50000</v>
      </c>
      <c r="H111" s="75"/>
      <c r="I111" s="75"/>
      <c r="J111" s="70">
        <f>50000-7159</f>
        <v>42841</v>
      </c>
      <c r="K111" s="70">
        <f>J111</f>
        <v>42841</v>
      </c>
      <c r="L111" s="412"/>
      <c r="M111" s="413"/>
      <c r="N111" s="413">
        <f t="shared" si="30"/>
        <v>0</v>
      </c>
      <c r="O111" s="323" t="s">
        <v>377</v>
      </c>
      <c r="P111" s="413">
        <f t="shared" si="32"/>
        <v>0</v>
      </c>
      <c r="Q111" s="293"/>
      <c r="R111" s="293"/>
      <c r="S111" s="293"/>
      <c r="T111" s="293">
        <f t="shared" si="22"/>
        <v>0</v>
      </c>
      <c r="U111" s="293">
        <f t="shared" si="23"/>
        <v>0</v>
      </c>
      <c r="V111" s="294">
        <f t="shared" si="24"/>
        <v>0</v>
      </c>
      <c r="W111" s="70">
        <f>E111+G111+K111</f>
        <v>400000</v>
      </c>
      <c r="X111" s="293"/>
      <c r="Y111" s="295" t="s">
        <v>377</v>
      </c>
      <c r="Z111" s="414">
        <v>0</v>
      </c>
      <c r="AA111" s="297"/>
    </row>
    <row r="112" spans="1:27" s="310" customFormat="1" ht="28.5">
      <c r="A112" s="236" t="s">
        <v>378</v>
      </c>
      <c r="B112" s="299" t="s">
        <v>379</v>
      </c>
      <c r="C112" s="238"/>
      <c r="D112" s="62"/>
      <c r="E112" s="70"/>
      <c r="F112" s="70"/>
      <c r="G112" s="70"/>
      <c r="H112" s="75"/>
      <c r="I112" s="75"/>
      <c r="J112" s="70"/>
      <c r="K112" s="70"/>
      <c r="L112" s="412"/>
      <c r="M112" s="413">
        <v>66666.570000000007</v>
      </c>
      <c r="N112" s="413">
        <f t="shared" si="30"/>
        <v>66666.570000000007</v>
      </c>
      <c r="O112" s="323" t="s">
        <v>372</v>
      </c>
      <c r="P112" s="413">
        <f t="shared" si="32"/>
        <v>66666.570000000007</v>
      </c>
      <c r="Q112" s="293">
        <v>66666.570000000007</v>
      </c>
      <c r="R112" s="293"/>
      <c r="S112" s="293">
        <v>66667</v>
      </c>
      <c r="T112" s="293">
        <f t="shared" si="22"/>
        <v>66667</v>
      </c>
      <c r="U112" s="293">
        <f t="shared" si="23"/>
        <v>133333.57</v>
      </c>
      <c r="V112" s="294">
        <f t="shared" si="24"/>
        <v>200000.14</v>
      </c>
      <c r="W112" s="70"/>
      <c r="X112" s="293"/>
      <c r="Y112" s="295" t="s">
        <v>372</v>
      </c>
      <c r="Z112" s="414">
        <v>133333.57</v>
      </c>
      <c r="AA112" s="297">
        <v>200000</v>
      </c>
    </row>
    <row r="113" spans="1:27" s="310" customFormat="1" ht="42.75">
      <c r="A113" s="236" t="s">
        <v>380</v>
      </c>
      <c r="B113" s="299" t="s">
        <v>381</v>
      </c>
      <c r="C113" s="238"/>
      <c r="D113" s="62"/>
      <c r="E113" s="70"/>
      <c r="F113" s="70"/>
      <c r="G113" s="70"/>
      <c r="H113" s="75"/>
      <c r="I113" s="75"/>
      <c r="J113" s="70"/>
      <c r="K113" s="70"/>
      <c r="L113" s="412"/>
      <c r="M113" s="413">
        <f>M112</f>
        <v>66666.570000000007</v>
      </c>
      <c r="N113" s="413">
        <f t="shared" si="30"/>
        <v>66666.570000000007</v>
      </c>
      <c r="O113" s="323" t="s">
        <v>375</v>
      </c>
      <c r="P113" s="413">
        <f t="shared" si="32"/>
        <v>66666.570000000007</v>
      </c>
      <c r="Q113" s="293">
        <f>Q112</f>
        <v>66666.570000000007</v>
      </c>
      <c r="R113" s="293"/>
      <c r="S113" s="293">
        <f>S112</f>
        <v>66667</v>
      </c>
      <c r="T113" s="293">
        <f t="shared" si="22"/>
        <v>66667</v>
      </c>
      <c r="U113" s="293">
        <f t="shared" si="23"/>
        <v>133333.57</v>
      </c>
      <c r="V113" s="294">
        <f t="shared" si="24"/>
        <v>200000.14</v>
      </c>
      <c r="W113" s="70"/>
      <c r="X113" s="293"/>
      <c r="Y113" s="295" t="s">
        <v>375</v>
      </c>
      <c r="Z113" s="414">
        <v>133333.57</v>
      </c>
      <c r="AA113" s="297">
        <v>200000</v>
      </c>
    </row>
    <row r="114" spans="1:27">
      <c r="A114" s="236">
        <f>A111+1</f>
        <v>155</v>
      </c>
      <c r="B114" s="299" t="s">
        <v>382</v>
      </c>
      <c r="C114" s="63"/>
      <c r="D114" s="63"/>
      <c r="E114" s="63"/>
      <c r="F114" s="63"/>
      <c r="G114" s="71"/>
      <c r="H114" s="63"/>
      <c r="I114" s="63"/>
      <c r="J114" s="63"/>
      <c r="K114" s="63"/>
      <c r="L114" s="77"/>
      <c r="M114" s="413"/>
      <c r="N114" s="413">
        <f t="shared" si="30"/>
        <v>0</v>
      </c>
      <c r="O114" s="323"/>
      <c r="P114" s="413">
        <f t="shared" si="32"/>
        <v>0</v>
      </c>
      <c r="Q114" s="293"/>
      <c r="R114" s="293"/>
      <c r="S114" s="293"/>
      <c r="T114" s="293">
        <f t="shared" si="22"/>
        <v>0</v>
      </c>
      <c r="U114" s="293">
        <f t="shared" si="23"/>
        <v>0</v>
      </c>
      <c r="V114" s="294">
        <f t="shared" si="24"/>
        <v>0</v>
      </c>
      <c r="W114" s="70">
        <f t="shared" ref="W114:W121" si="39">E114+G114+K114</f>
        <v>0</v>
      </c>
      <c r="X114" s="293"/>
      <c r="Y114" s="295"/>
      <c r="Z114" s="414"/>
      <c r="AA114" s="297"/>
    </row>
    <row r="115" spans="1:27">
      <c r="A115" s="291">
        <v>156</v>
      </c>
      <c r="B115" s="292" t="s">
        <v>383</v>
      </c>
      <c r="C115" s="415"/>
      <c r="D115" s="415"/>
      <c r="E115" s="415"/>
      <c r="F115" s="415"/>
      <c r="G115" s="416"/>
      <c r="H115" s="415"/>
      <c r="I115" s="415"/>
      <c r="J115" s="415"/>
      <c r="K115" s="415"/>
      <c r="L115" s="417"/>
      <c r="M115" s="413"/>
      <c r="N115" s="413">
        <f t="shared" si="30"/>
        <v>0</v>
      </c>
      <c r="O115" s="323"/>
      <c r="P115" s="413">
        <f t="shared" si="32"/>
        <v>0</v>
      </c>
      <c r="Q115" s="293"/>
      <c r="R115" s="293"/>
      <c r="S115" s="293"/>
      <c r="T115" s="293">
        <f t="shared" si="22"/>
        <v>0</v>
      </c>
      <c r="U115" s="293">
        <f t="shared" si="23"/>
        <v>0</v>
      </c>
      <c r="V115" s="294">
        <f t="shared" si="24"/>
        <v>0</v>
      </c>
      <c r="W115" s="70">
        <f t="shared" si="39"/>
        <v>0</v>
      </c>
      <c r="X115" s="293"/>
      <c r="Y115" s="295"/>
      <c r="Z115" s="414"/>
      <c r="AA115" s="297"/>
    </row>
    <row r="116" spans="1:27" ht="28.5">
      <c r="A116" s="236">
        <f t="shared" si="26"/>
        <v>157</v>
      </c>
      <c r="B116" s="299" t="s">
        <v>384</v>
      </c>
      <c r="C116" s="238">
        <f>218160+232000+30000</f>
        <v>480160</v>
      </c>
      <c r="D116" s="238">
        <v>482000</v>
      </c>
      <c r="E116" s="418">
        <v>56501</v>
      </c>
      <c r="F116" s="238">
        <v>148000</v>
      </c>
      <c r="G116" s="418">
        <v>148000</v>
      </c>
      <c r="H116" s="238" t="s">
        <v>385</v>
      </c>
      <c r="I116" s="238">
        <v>30000</v>
      </c>
      <c r="J116" s="238">
        <f>152000+20000</f>
        <v>172000</v>
      </c>
      <c r="K116" s="238">
        <f>J116</f>
        <v>172000</v>
      </c>
      <c r="L116" s="239">
        <v>30000</v>
      </c>
      <c r="M116" s="413">
        <v>139987</v>
      </c>
      <c r="N116" s="413">
        <f t="shared" si="30"/>
        <v>169987</v>
      </c>
      <c r="O116" s="323" t="s">
        <v>386</v>
      </c>
      <c r="P116" s="413">
        <f t="shared" si="32"/>
        <v>169987</v>
      </c>
      <c r="Q116" s="293">
        <v>170000</v>
      </c>
      <c r="R116" s="293"/>
      <c r="S116" s="293">
        <v>170000</v>
      </c>
      <c r="T116" s="66">
        <f t="shared" si="22"/>
        <v>170000</v>
      </c>
      <c r="U116" s="66">
        <f t="shared" si="23"/>
        <v>340000</v>
      </c>
      <c r="V116" s="66">
        <f t="shared" si="24"/>
        <v>509987</v>
      </c>
      <c r="W116" s="70">
        <f t="shared" si="39"/>
        <v>376501</v>
      </c>
      <c r="X116" s="66"/>
      <c r="Y116" s="295"/>
      <c r="Z116" s="414">
        <v>340000</v>
      </c>
      <c r="AA116" s="68">
        <v>482000</v>
      </c>
    </row>
    <row r="117" spans="1:27">
      <c r="A117" s="236" t="s">
        <v>387</v>
      </c>
      <c r="B117" s="299" t="s">
        <v>188</v>
      </c>
      <c r="C117" s="238"/>
      <c r="D117" s="238"/>
      <c r="E117" s="418"/>
      <c r="F117" s="238"/>
      <c r="G117" s="418"/>
      <c r="H117" s="238"/>
      <c r="I117" s="238"/>
      <c r="J117" s="238"/>
      <c r="K117" s="238">
        <f>I120</f>
        <v>30000</v>
      </c>
      <c r="L117" s="239"/>
      <c r="M117" s="413"/>
      <c r="N117" s="413">
        <f t="shared" si="30"/>
        <v>0</v>
      </c>
      <c r="O117" s="323" t="s">
        <v>388</v>
      </c>
      <c r="P117" s="413">
        <f t="shared" si="32"/>
        <v>0</v>
      </c>
      <c r="Q117" s="293"/>
      <c r="R117" s="293"/>
      <c r="S117" s="293"/>
      <c r="T117" s="66">
        <f t="shared" si="22"/>
        <v>0</v>
      </c>
      <c r="U117" s="66">
        <f t="shared" si="23"/>
        <v>0</v>
      </c>
      <c r="V117" s="66">
        <f t="shared" si="24"/>
        <v>0</v>
      </c>
      <c r="W117" s="70">
        <f t="shared" si="39"/>
        <v>30000</v>
      </c>
      <c r="X117" s="66"/>
      <c r="Y117" s="295"/>
      <c r="Z117" s="414">
        <v>0</v>
      </c>
      <c r="AA117" s="68"/>
    </row>
    <row r="118" spans="1:27">
      <c r="A118" s="236">
        <f>A116+1</f>
        <v>158</v>
      </c>
      <c r="B118" s="299" t="s">
        <v>190</v>
      </c>
      <c r="C118" s="238">
        <f>'[4]Salary Summary GC Adopted'!Y34</f>
        <v>693189.62135474221</v>
      </c>
      <c r="D118" s="238">
        <v>651175.09668068355</v>
      </c>
      <c r="E118" s="347">
        <v>242969</v>
      </c>
      <c r="F118" s="347">
        <f>'[3]Salary Summary 19 for 2019-2021'!L40</f>
        <v>253840.41099001199</v>
      </c>
      <c r="G118" s="419">
        <v>253840</v>
      </c>
      <c r="H118" s="347" t="s">
        <v>389</v>
      </c>
      <c r="I118" s="347"/>
      <c r="J118" s="347">
        <f>'[3]Salary Summary 20 for 2019-2021'!P40-96000</f>
        <v>163232.15997409716</v>
      </c>
      <c r="K118" s="347">
        <f>J118</f>
        <v>163232.15997409716</v>
      </c>
      <c r="L118" s="350"/>
      <c r="M118" s="413">
        <f>'Salary Summary 21 for 2022-2024'!M41</f>
        <v>257576.95495209502</v>
      </c>
      <c r="N118" s="413">
        <f t="shared" si="30"/>
        <v>257576.95495209502</v>
      </c>
      <c r="O118" s="323"/>
      <c r="P118" s="413">
        <f t="shared" si="32"/>
        <v>257576.95495209502</v>
      </c>
      <c r="Q118" s="420">
        <f>'Salary Summary 21 for 2022-2024'!Q41</f>
        <v>266096.44247074745</v>
      </c>
      <c r="R118" s="293"/>
      <c r="S118" s="420">
        <f>'Salary Summary 21 for 2022-2024'!U41</f>
        <v>274771.0893810438</v>
      </c>
      <c r="T118" s="66">
        <f t="shared" si="22"/>
        <v>274771.0893810438</v>
      </c>
      <c r="U118" s="66">
        <f t="shared" si="23"/>
        <v>540867.53185179131</v>
      </c>
      <c r="V118" s="66">
        <f t="shared" si="24"/>
        <v>798444.48680388636</v>
      </c>
      <c r="W118" s="70">
        <f t="shared" si="39"/>
        <v>660041.15997409716</v>
      </c>
      <c r="X118" s="66"/>
      <c r="Y118" s="295"/>
      <c r="Z118" s="414">
        <v>540867.53185179131</v>
      </c>
      <c r="AA118" s="68">
        <v>743129.27518387453</v>
      </c>
    </row>
    <row r="119" spans="1:27" s="310" customFormat="1">
      <c r="A119" s="236">
        <f t="shared" si="26"/>
        <v>159</v>
      </c>
      <c r="B119" s="299" t="s">
        <v>390</v>
      </c>
      <c r="C119" s="400">
        <v>-973151.75</v>
      </c>
      <c r="D119" s="238">
        <v>-950000</v>
      </c>
      <c r="E119" s="238">
        <v>-335000</v>
      </c>
      <c r="F119" s="238">
        <v>-350000</v>
      </c>
      <c r="G119" s="238">
        <v>-350000</v>
      </c>
      <c r="H119" s="238"/>
      <c r="I119" s="238"/>
      <c r="J119" s="238">
        <v>-350000</v>
      </c>
      <c r="K119" s="238">
        <f>J119</f>
        <v>-350000</v>
      </c>
      <c r="L119" s="239"/>
      <c r="M119" s="413">
        <v>-350000</v>
      </c>
      <c r="N119" s="413">
        <f t="shared" si="30"/>
        <v>-350000</v>
      </c>
      <c r="O119" s="323"/>
      <c r="P119" s="413">
        <f t="shared" si="32"/>
        <v>-350000</v>
      </c>
      <c r="Q119" s="308">
        <v>-350000</v>
      </c>
      <c r="R119" s="308"/>
      <c r="S119" s="308">
        <v>-350000</v>
      </c>
      <c r="T119" s="66">
        <f t="shared" si="22"/>
        <v>-350000</v>
      </c>
      <c r="U119" s="66">
        <f t="shared" si="23"/>
        <v>-700000</v>
      </c>
      <c r="V119" s="66">
        <f t="shared" si="24"/>
        <v>-1050000</v>
      </c>
      <c r="W119" s="70">
        <f t="shared" si="39"/>
        <v>-1035000</v>
      </c>
      <c r="X119" s="66"/>
      <c r="Y119" s="309"/>
      <c r="Z119" s="414">
        <v>-700000</v>
      </c>
      <c r="AA119" s="68">
        <v>-1035000</v>
      </c>
    </row>
    <row r="120" spans="1:27" s="421" customFormat="1">
      <c r="A120" s="313">
        <f t="shared" si="26"/>
        <v>160</v>
      </c>
      <c r="B120" s="340" t="s">
        <v>391</v>
      </c>
      <c r="C120" s="92">
        <f>SUM(C116:C119)</f>
        <v>200197.87135474221</v>
      </c>
      <c r="D120" s="92">
        <v>183175.09668068355</v>
      </c>
      <c r="E120" s="92">
        <f t="shared" ref="E120:G120" si="40">SUM(E116:E119)</f>
        <v>-35530</v>
      </c>
      <c r="F120" s="92">
        <f t="shared" si="40"/>
        <v>51840.410990011995</v>
      </c>
      <c r="G120" s="92">
        <f t="shared" si="40"/>
        <v>51840</v>
      </c>
      <c r="H120" s="92"/>
      <c r="I120" s="92">
        <f t="shared" ref="I120:N120" si="41">SUM(I116:I119)</f>
        <v>30000</v>
      </c>
      <c r="J120" s="92">
        <f t="shared" si="41"/>
        <v>-14767.840025902842</v>
      </c>
      <c r="K120" s="92">
        <f t="shared" si="41"/>
        <v>15232.159974097158</v>
      </c>
      <c r="L120" s="93">
        <f t="shared" si="41"/>
        <v>30000</v>
      </c>
      <c r="M120" s="93">
        <f t="shared" si="41"/>
        <v>47563.954952095053</v>
      </c>
      <c r="N120" s="93">
        <f t="shared" si="41"/>
        <v>77563.954952095053</v>
      </c>
      <c r="O120" s="341"/>
      <c r="P120" s="93">
        <f t="shared" si="32"/>
        <v>77563.954952095053</v>
      </c>
      <c r="Q120" s="95">
        <f t="shared" ref="Q120:S120" si="42">SUM(Q116:Q119)</f>
        <v>86096.442470747454</v>
      </c>
      <c r="R120" s="95">
        <f t="shared" si="42"/>
        <v>0</v>
      </c>
      <c r="S120" s="95">
        <f t="shared" si="42"/>
        <v>94771.089381043799</v>
      </c>
      <c r="T120" s="95">
        <f t="shared" si="22"/>
        <v>94771.089381043799</v>
      </c>
      <c r="U120" s="95">
        <f t="shared" si="23"/>
        <v>180867.53185179125</v>
      </c>
      <c r="V120" s="95">
        <f t="shared" si="24"/>
        <v>258431.48680388631</v>
      </c>
      <c r="W120" s="92">
        <f t="shared" si="39"/>
        <v>31542.159974097158</v>
      </c>
      <c r="X120" s="95"/>
      <c r="Y120" s="342"/>
      <c r="Z120" s="98">
        <v>180867.53185179131</v>
      </c>
      <c r="AA120" s="99">
        <v>190129.27518387465</v>
      </c>
    </row>
    <row r="121" spans="1:27" s="421" customFormat="1">
      <c r="A121" s="236">
        <f t="shared" si="26"/>
        <v>161</v>
      </c>
      <c r="B121" s="299"/>
      <c r="C121" s="63"/>
      <c r="D121" s="63"/>
      <c r="E121" s="63"/>
      <c r="F121" s="63"/>
      <c r="G121" s="63"/>
      <c r="H121" s="63"/>
      <c r="I121" s="63"/>
      <c r="J121" s="63"/>
      <c r="K121" s="63"/>
      <c r="L121" s="77"/>
      <c r="M121" s="77"/>
      <c r="N121" s="77">
        <f t="shared" si="30"/>
        <v>0</v>
      </c>
      <c r="O121" s="77"/>
      <c r="P121" s="77">
        <f t="shared" si="32"/>
        <v>0</v>
      </c>
      <c r="Q121" s="422"/>
      <c r="R121" s="422"/>
      <c r="S121" s="422"/>
      <c r="T121" s="422">
        <f t="shared" si="22"/>
        <v>0</v>
      </c>
      <c r="U121" s="422">
        <f t="shared" si="23"/>
        <v>0</v>
      </c>
      <c r="V121" s="294">
        <f t="shared" si="24"/>
        <v>0</v>
      </c>
      <c r="W121" s="63">
        <f t="shared" si="39"/>
        <v>0</v>
      </c>
      <c r="X121" s="422"/>
      <c r="Y121" s="423"/>
      <c r="Z121" s="296"/>
      <c r="AA121" s="297"/>
    </row>
    <row r="122" spans="1:27" s="421" customFormat="1" ht="14.65" thickBot="1">
      <c r="A122" s="424">
        <f>A121+1</f>
        <v>162</v>
      </c>
      <c r="B122" s="425" t="s">
        <v>392</v>
      </c>
      <c r="C122" s="426">
        <f>C45+C24+C16+C105+C120+C108+C111</f>
        <v>9464925.0699986722</v>
      </c>
      <c r="D122" s="427">
        <v>10399057.895112257</v>
      </c>
      <c r="E122" s="427">
        <f t="shared" ref="E122:G122" si="43">E120+E105+E45+E24+E108+E111</f>
        <v>3969193</v>
      </c>
      <c r="F122" s="427" t="e">
        <f t="shared" si="43"/>
        <v>#REF!</v>
      </c>
      <c r="G122" s="427">
        <f t="shared" si="43"/>
        <v>2872956.7922002459</v>
      </c>
      <c r="H122" s="427"/>
      <c r="I122" s="427">
        <f t="shared" ref="I122:L122" si="44">I120+I105+I45+I24+I108+I111</f>
        <v>192152</v>
      </c>
      <c r="J122" s="427">
        <f t="shared" si="44"/>
        <v>2791886.8176762233</v>
      </c>
      <c r="K122" s="427">
        <f t="shared" si="44"/>
        <v>2984038.8176762233</v>
      </c>
      <c r="L122" s="428">
        <f t="shared" si="44"/>
        <v>192152</v>
      </c>
      <c r="M122" s="428">
        <f>M120+M105+M45+M24+M109+M112+M110+M113</f>
        <v>3592832.5008139061</v>
      </c>
      <c r="N122" s="428">
        <f>N120+N105+N45+N24+N109+N112+N110+N113</f>
        <v>3784984.5008139061</v>
      </c>
      <c r="O122" s="429"/>
      <c r="P122" s="428">
        <f t="shared" si="32"/>
        <v>3784984.5008139061</v>
      </c>
      <c r="Q122" s="430">
        <f>Q120+Q105+Q45+Q24+Q109+Q112+Q110+Q113</f>
        <v>3516362.9410382602</v>
      </c>
      <c r="R122" s="430">
        <f t="shared" ref="R122:S122" si="45">R120+R105+R45+R24+R109+R112+R110+R113</f>
        <v>158000</v>
      </c>
      <c r="S122" s="430">
        <f t="shared" si="45"/>
        <v>3530706.2683463483</v>
      </c>
      <c r="T122" s="430">
        <f t="shared" si="22"/>
        <v>3688706.2683463483</v>
      </c>
      <c r="U122" s="430">
        <f t="shared" si="23"/>
        <v>7205069.209384609</v>
      </c>
      <c r="V122" s="430">
        <f t="shared" si="24"/>
        <v>10990053.710198514</v>
      </c>
      <c r="W122" s="427">
        <f>W120+W105+W45+W24+W108+W111</f>
        <v>9826188.6098764688</v>
      </c>
      <c r="X122" s="430"/>
      <c r="Y122" s="431"/>
      <c r="Z122" s="432">
        <v>7383764.1626582602</v>
      </c>
      <c r="AA122" s="433">
        <v>10534305.031816604</v>
      </c>
    </row>
    <row r="123" spans="1:27" s="434" customFormat="1">
      <c r="A123" s="236"/>
      <c r="B123" s="299"/>
      <c r="C123" s="298"/>
      <c r="D123" s="300"/>
      <c r="E123" s="300"/>
      <c r="F123" s="300"/>
      <c r="G123" s="300"/>
      <c r="H123" s="300"/>
      <c r="I123" s="300"/>
      <c r="J123" s="300"/>
      <c r="K123" s="300"/>
      <c r="L123" s="300"/>
      <c r="M123" s="300"/>
      <c r="N123" s="300"/>
      <c r="O123" s="300"/>
      <c r="P123" s="300"/>
      <c r="V123" s="435">
        <f t="shared" si="24"/>
        <v>0</v>
      </c>
      <c r="W123" s="300"/>
      <c r="Y123" s="436"/>
      <c r="Z123" s="302"/>
      <c r="AA123" s="435"/>
    </row>
    <row r="124" spans="1:27">
      <c r="V124" s="238">
        <f t="shared" si="24"/>
        <v>0</v>
      </c>
    </row>
    <row r="125" spans="1:27">
      <c r="F125" s="300">
        <f>SUBTOTAL(9,F5:F103)</f>
        <v>3430530.8593414538</v>
      </c>
      <c r="V125" s="238">
        <f t="shared" si="24"/>
        <v>0</v>
      </c>
    </row>
    <row r="126" spans="1:27" s="310" customFormat="1">
      <c r="A126" s="236"/>
      <c r="B126" s="299"/>
      <c r="C126" s="300"/>
      <c r="D126" s="300"/>
      <c r="E126" s="300"/>
      <c r="F126" s="300">
        <v>450000</v>
      </c>
      <c r="G126" s="300"/>
      <c r="H126" s="300"/>
      <c r="I126" s="300"/>
      <c r="J126" s="300"/>
      <c r="K126" s="300"/>
      <c r="L126" s="300"/>
      <c r="M126" s="300"/>
      <c r="N126" s="300"/>
      <c r="O126" s="300"/>
      <c r="P126" s="300"/>
      <c r="V126" s="435">
        <f t="shared" si="24"/>
        <v>0</v>
      </c>
      <c r="W126" s="300"/>
      <c r="Y126" s="438"/>
      <c r="Z126" s="302"/>
      <c r="AA126" s="435"/>
    </row>
    <row r="127" spans="1:27">
      <c r="V127" s="238">
        <f t="shared" si="24"/>
        <v>0</v>
      </c>
    </row>
    <row r="128" spans="1:27">
      <c r="V128" s="238">
        <f t="shared" si="24"/>
        <v>0</v>
      </c>
    </row>
    <row r="129" spans="2:26">
      <c r="V129" s="238">
        <f t="shared" si="24"/>
        <v>0</v>
      </c>
    </row>
    <row r="130" spans="2:26">
      <c r="V130" s="238">
        <f t="shared" si="24"/>
        <v>0</v>
      </c>
    </row>
    <row r="131" spans="2:26">
      <c r="V131" s="238">
        <f t="shared" si="24"/>
        <v>0</v>
      </c>
    </row>
    <row r="132" spans="2:26">
      <c r="V132" s="238">
        <f t="shared" si="24"/>
        <v>0</v>
      </c>
    </row>
    <row r="133" spans="2:26">
      <c r="V133" s="238">
        <f t="shared" si="24"/>
        <v>0</v>
      </c>
    </row>
    <row r="134" spans="2:26">
      <c r="V134" s="238">
        <f t="shared" si="24"/>
        <v>0</v>
      </c>
    </row>
    <row r="135" spans="2:26">
      <c r="V135" s="238">
        <f t="shared" si="24"/>
        <v>0</v>
      </c>
    </row>
    <row r="136" spans="2:26">
      <c r="V136" s="238">
        <f t="shared" ref="V136:V149" si="46">U136+P136</f>
        <v>0</v>
      </c>
    </row>
    <row r="137" spans="2:26">
      <c r="V137" s="238">
        <f t="shared" si="46"/>
        <v>0</v>
      </c>
    </row>
    <row r="138" spans="2:26">
      <c r="V138" s="238">
        <f t="shared" si="46"/>
        <v>0</v>
      </c>
    </row>
    <row r="139" spans="2:26">
      <c r="V139" s="238">
        <f t="shared" si="46"/>
        <v>0</v>
      </c>
    </row>
    <row r="140" spans="2:26">
      <c r="V140" s="238">
        <f t="shared" si="46"/>
        <v>0</v>
      </c>
    </row>
    <row r="141" spans="2:26">
      <c r="V141" s="238">
        <f t="shared" si="46"/>
        <v>0</v>
      </c>
    </row>
    <row r="142" spans="2:26">
      <c r="B142" s="439"/>
      <c r="C142" s="259"/>
      <c r="D142" s="259"/>
      <c r="E142" s="259"/>
      <c r="F142" s="259"/>
      <c r="G142" s="259"/>
      <c r="H142" s="259"/>
      <c r="I142" s="259"/>
      <c r="J142" s="259"/>
      <c r="K142" s="259"/>
      <c r="L142" s="259"/>
      <c r="M142" s="259"/>
      <c r="N142" s="259"/>
      <c r="O142" s="260"/>
      <c r="P142" s="259"/>
      <c r="V142" s="238">
        <f t="shared" si="46"/>
        <v>0</v>
      </c>
      <c r="W142" s="259"/>
      <c r="Z142" s="261"/>
    </row>
    <row r="143" spans="2:26">
      <c r="B143" s="439"/>
      <c r="C143" s="259"/>
      <c r="D143" s="259"/>
      <c r="E143" s="259"/>
      <c r="F143" s="259"/>
      <c r="G143" s="259"/>
      <c r="H143" s="259"/>
      <c r="I143" s="259"/>
      <c r="J143" s="259"/>
      <c r="K143" s="259"/>
      <c r="L143" s="259"/>
      <c r="M143" s="259"/>
      <c r="N143" s="259"/>
      <c r="O143" s="260"/>
      <c r="P143" s="259"/>
      <c r="V143" s="238">
        <f t="shared" si="46"/>
        <v>0</v>
      </c>
      <c r="W143" s="259"/>
      <c r="Z143" s="261"/>
    </row>
    <row r="144" spans="2:26">
      <c r="B144" s="439"/>
      <c r="C144" s="259"/>
      <c r="D144" s="259"/>
      <c r="E144" s="259"/>
      <c r="F144" s="259"/>
      <c r="G144" s="259"/>
      <c r="H144" s="259"/>
      <c r="I144" s="259"/>
      <c r="J144" s="259"/>
      <c r="K144" s="259"/>
      <c r="L144" s="259"/>
      <c r="M144" s="259"/>
      <c r="N144" s="259"/>
      <c r="O144" s="260"/>
      <c r="P144" s="259"/>
      <c r="V144" s="238">
        <f t="shared" si="46"/>
        <v>0</v>
      </c>
      <c r="W144" s="259"/>
      <c r="Z144" s="261"/>
    </row>
    <row r="145" spans="2:26">
      <c r="B145" s="439"/>
      <c r="C145" s="259"/>
      <c r="D145" s="259"/>
      <c r="E145" s="259"/>
      <c r="F145" s="259"/>
      <c r="G145" s="259"/>
      <c r="H145" s="259"/>
      <c r="I145" s="259"/>
      <c r="J145" s="259"/>
      <c r="K145" s="259"/>
      <c r="L145" s="259"/>
      <c r="M145" s="259"/>
      <c r="N145" s="259"/>
      <c r="O145" s="260"/>
      <c r="P145" s="259"/>
      <c r="V145" s="238">
        <f t="shared" si="46"/>
        <v>0</v>
      </c>
      <c r="W145" s="259"/>
      <c r="Z145" s="261"/>
    </row>
    <row r="146" spans="2:26">
      <c r="B146" s="439"/>
      <c r="C146" s="276"/>
      <c r="D146" s="276"/>
      <c r="E146" s="276"/>
      <c r="F146" s="276"/>
      <c r="G146" s="276"/>
      <c r="H146" s="276"/>
      <c r="I146" s="276"/>
      <c r="J146" s="276"/>
      <c r="K146" s="276"/>
      <c r="L146" s="276"/>
      <c r="M146" s="276"/>
      <c r="N146" s="276"/>
      <c r="O146" s="277"/>
      <c r="P146" s="276"/>
      <c r="V146" s="238">
        <f t="shared" si="46"/>
        <v>0</v>
      </c>
      <c r="W146" s="276"/>
      <c r="Z146" s="440"/>
    </row>
    <row r="147" spans="2:26">
      <c r="V147" s="238">
        <f t="shared" si="46"/>
        <v>0</v>
      </c>
    </row>
    <row r="148" spans="2:26">
      <c r="B148" s="439"/>
      <c r="C148" s="259"/>
      <c r="D148" s="259"/>
      <c r="E148" s="259"/>
      <c r="F148" s="259"/>
      <c r="G148" s="259"/>
      <c r="H148" s="259"/>
      <c r="I148" s="259"/>
      <c r="J148" s="259"/>
      <c r="K148" s="259"/>
      <c r="L148" s="259"/>
      <c r="M148" s="259"/>
      <c r="N148" s="259"/>
      <c r="O148" s="260"/>
      <c r="P148" s="259"/>
      <c r="V148" s="238">
        <f t="shared" si="46"/>
        <v>0</v>
      </c>
      <c r="W148" s="259"/>
      <c r="Z148" s="261"/>
    </row>
    <row r="149" spans="2:26">
      <c r="C149" s="259"/>
      <c r="D149" s="259"/>
      <c r="E149" s="259"/>
      <c r="F149" s="259"/>
      <c r="G149" s="259"/>
      <c r="H149" s="259"/>
      <c r="I149" s="259"/>
      <c r="J149" s="259"/>
      <c r="K149" s="259"/>
      <c r="L149" s="259"/>
      <c r="M149" s="259"/>
      <c r="N149" s="259"/>
      <c r="O149" s="260"/>
      <c r="P149" s="259"/>
      <c r="V149" s="238">
        <f t="shared" si="46"/>
        <v>0</v>
      </c>
      <c r="W149" s="259"/>
      <c r="Z149" s="261"/>
    </row>
  </sheetData>
  <autoFilter ref="A5:O122" xr:uid="{65559294-E9E5-4D25-AAF2-5273D45A0617}"/>
  <printOptions horizontalCentered="1" headings="1" gridLines="1"/>
  <pageMargins left="0.25" right="0.25" top="0.75" bottom="0.25" header="0.25" footer="0.25"/>
  <pageSetup scale="37" fitToHeight="5" orientation="landscape" r:id="rId1"/>
  <headerFooter>
    <oddFooter>Page &amp;P of &amp;N</oddFooter>
  </headerFooter>
  <rowBreaks count="1" manualBreakCount="1">
    <brk id="45" max="24" man="1"/>
  </rowBreaks>
  <colBreaks count="1" manualBreakCount="1">
    <brk id="15" max="11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30B39-DCFE-41BE-B16E-ADA7D7792B2E}">
  <sheetPr>
    <tabColor rgb="FF00B050"/>
    <pageSetUpPr fitToPage="1"/>
  </sheetPr>
  <dimension ref="A1:AA78"/>
  <sheetViews>
    <sheetView tabSelected="1" view="pageBreakPreview" zoomScale="75" zoomScaleNormal="100" zoomScaleSheetLayoutView="75" workbookViewId="0">
      <pane xSplit="15" ySplit="5" topLeftCell="P6" activePane="bottomRight" state="frozen"/>
      <selection activeCell="Y25" sqref="Y25"/>
      <selection pane="topRight" activeCell="Y25" sqref="Y25"/>
      <selection pane="bottomLeft" activeCell="Y25" sqref="Y25"/>
      <selection pane="bottomRight" activeCell="Y25" sqref="Y25"/>
    </sheetView>
  </sheetViews>
  <sheetFormatPr defaultColWidth="10.5625" defaultRowHeight="15.75"/>
  <cols>
    <col min="1" max="1" width="10.5625" style="201"/>
    <col min="2" max="2" width="38.5" style="463" customWidth="1"/>
    <col min="3" max="3" width="15.0625" style="89" hidden="1" customWidth="1"/>
    <col min="4" max="4" width="16.0625" style="89" hidden="1" customWidth="1"/>
    <col min="5" max="5" width="14.25" style="89" hidden="1" customWidth="1"/>
    <col min="6" max="6" width="11.5" style="89" hidden="1" customWidth="1"/>
    <col min="7" max="7" width="13.75" style="89" hidden="1" customWidth="1"/>
    <col min="8" max="8" width="52.5" style="256" hidden="1" customWidth="1"/>
    <col min="9" max="9" width="16.8125" style="89" hidden="1" customWidth="1"/>
    <col min="10" max="10" width="14" style="89" hidden="1" customWidth="1"/>
    <col min="11" max="11" width="13.5" style="89" hidden="1" customWidth="1"/>
    <col min="12" max="12" width="10.5" style="89" hidden="1" customWidth="1"/>
    <col min="13" max="13" width="10.5625" style="89" hidden="1" customWidth="1"/>
    <col min="14" max="14" width="12.5" style="89" hidden="1" customWidth="1"/>
    <col min="15" max="15" width="55.5" style="444" hidden="1" customWidth="1"/>
    <col min="16" max="16" width="12.5" style="89" customWidth="1"/>
    <col min="17" max="17" width="20.8125" style="446" customWidth="1"/>
    <col min="18" max="18" width="18" style="446" customWidth="1"/>
    <col min="19" max="19" width="20.3125" style="446" customWidth="1"/>
    <col min="20" max="20" width="14.5" style="446" customWidth="1"/>
    <col min="21" max="22" width="19.8125" style="446" customWidth="1"/>
    <col min="23" max="23" width="18.75" style="89" customWidth="1"/>
    <col min="24" max="24" width="25.3125" style="446" customWidth="1"/>
    <col min="25" max="25" width="49.25" style="445" customWidth="1"/>
    <col min="26" max="26" width="16.9375" style="257" customWidth="1"/>
    <col min="27" max="27" width="16.5625" style="446" customWidth="1"/>
    <col min="28" max="16384" width="10.5625" style="446"/>
  </cols>
  <sheetData>
    <row r="1" spans="1:27" s="8" customFormat="1" ht="18">
      <c r="A1" s="1" t="s">
        <v>0</v>
      </c>
      <c r="B1" s="263"/>
      <c r="C1" s="3"/>
      <c r="D1" s="3"/>
      <c r="E1" s="3"/>
      <c r="F1" s="3"/>
      <c r="G1" s="202"/>
      <c r="H1" s="203"/>
      <c r="I1" s="3"/>
      <c r="J1" s="3"/>
      <c r="K1" s="3"/>
      <c r="L1" s="441"/>
      <c r="M1" s="441"/>
      <c r="O1" s="209" t="s">
        <v>1</v>
      </c>
      <c r="W1" s="3"/>
      <c r="Y1" s="209" t="s">
        <v>1</v>
      </c>
      <c r="Z1" s="442"/>
    </row>
    <row r="2" spans="1:27" s="8" customFormat="1" ht="18">
      <c r="A2" s="11" t="s">
        <v>1167</v>
      </c>
      <c r="B2" s="443"/>
      <c r="C2" s="4"/>
      <c r="D2" s="4"/>
      <c r="E2" s="4"/>
      <c r="F2" s="4"/>
      <c r="G2" s="202"/>
      <c r="H2" s="203"/>
      <c r="I2" s="4"/>
      <c r="J2" s="4"/>
      <c r="K2" s="4"/>
      <c r="L2" s="441"/>
      <c r="M2" s="441"/>
      <c r="W2" s="4"/>
      <c r="Z2" s="442"/>
    </row>
    <row r="3" spans="1:27">
      <c r="A3" s="851" t="s">
        <v>393</v>
      </c>
      <c r="B3" s="851"/>
      <c r="D3" s="444"/>
      <c r="G3" s="202"/>
      <c r="H3" s="203"/>
      <c r="O3" s="445"/>
    </row>
    <row r="4" spans="1:27" s="189" customFormat="1" ht="16.149999999999999" thickBot="1">
      <c r="A4" s="14"/>
      <c r="B4" s="447"/>
      <c r="C4" s="448"/>
      <c r="D4" s="448"/>
      <c r="E4" s="448"/>
      <c r="F4" s="448"/>
      <c r="G4" s="448"/>
      <c r="H4" s="449"/>
      <c r="I4" s="448"/>
      <c r="J4" s="448"/>
      <c r="K4" s="448"/>
      <c r="L4" s="448"/>
      <c r="M4" s="448"/>
      <c r="N4" s="448"/>
      <c r="O4" s="450"/>
      <c r="P4" s="448"/>
      <c r="W4" s="448"/>
      <c r="Y4" s="190"/>
      <c r="Z4" s="451"/>
    </row>
    <row r="5" spans="1:27" s="200" customFormat="1" ht="70.5" customHeight="1" thickBot="1">
      <c r="A5" s="25" t="s">
        <v>5</v>
      </c>
      <c r="B5" s="26" t="s">
        <v>6</v>
      </c>
      <c r="C5" s="27" t="s">
        <v>7</v>
      </c>
      <c r="D5" s="28" t="s">
        <v>8</v>
      </c>
      <c r="E5" s="29" t="s">
        <v>9</v>
      </c>
      <c r="F5" s="29" t="s">
        <v>10</v>
      </c>
      <c r="G5" s="192" t="s">
        <v>11</v>
      </c>
      <c r="H5" s="29" t="s">
        <v>12</v>
      </c>
      <c r="I5" s="31" t="s">
        <v>141</v>
      </c>
      <c r="J5" s="31" t="s">
        <v>142</v>
      </c>
      <c r="K5" s="31" t="s">
        <v>15</v>
      </c>
      <c r="L5" s="31" t="s">
        <v>143</v>
      </c>
      <c r="M5" s="31" t="s">
        <v>17</v>
      </c>
      <c r="N5" s="31" t="s">
        <v>144</v>
      </c>
      <c r="O5" s="31" t="s">
        <v>145</v>
      </c>
      <c r="P5" s="31" t="s">
        <v>20</v>
      </c>
      <c r="Q5" s="195" t="s">
        <v>146</v>
      </c>
      <c r="R5" s="195" t="s">
        <v>147</v>
      </c>
      <c r="S5" s="195" t="s">
        <v>23</v>
      </c>
      <c r="T5" s="195" t="s">
        <v>24</v>
      </c>
      <c r="U5" s="195" t="s">
        <v>25</v>
      </c>
      <c r="V5" s="195" t="s">
        <v>148</v>
      </c>
      <c r="W5" s="35" t="s">
        <v>27</v>
      </c>
      <c r="X5" s="196" t="s">
        <v>28</v>
      </c>
      <c r="Y5" s="195" t="s">
        <v>29</v>
      </c>
      <c r="Z5" s="198" t="s">
        <v>30</v>
      </c>
      <c r="AA5" s="199" t="s">
        <v>149</v>
      </c>
    </row>
    <row r="6" spans="1:27" s="461" customFormat="1">
      <c r="A6" s="452">
        <f>'REC &amp; JUST'!A122+1</f>
        <v>163</v>
      </c>
      <c r="B6" s="453" t="s">
        <v>121</v>
      </c>
      <c r="C6" s="454"/>
      <c r="D6" s="454"/>
      <c r="E6" s="454"/>
      <c r="F6" s="454"/>
      <c r="G6" s="454"/>
      <c r="H6" s="455"/>
      <c r="I6" s="454"/>
      <c r="J6" s="454"/>
      <c r="K6" s="454"/>
      <c r="L6" s="456"/>
      <c r="M6" s="456"/>
      <c r="N6" s="456"/>
      <c r="O6" s="457"/>
      <c r="P6" s="456"/>
      <c r="Q6" s="458"/>
      <c r="R6" s="458"/>
      <c r="S6" s="458"/>
      <c r="T6" s="458"/>
      <c r="U6" s="458"/>
      <c r="V6" s="458"/>
      <c r="W6" s="454"/>
      <c r="X6" s="458"/>
      <c r="Y6" s="459" t="s">
        <v>394</v>
      </c>
      <c r="Z6" s="460"/>
      <c r="AA6" s="458"/>
    </row>
    <row r="7" spans="1:27" s="461" customFormat="1">
      <c r="A7" s="452"/>
      <c r="B7" s="453"/>
      <c r="C7" s="454"/>
      <c r="D7" s="454"/>
      <c r="E7" s="454"/>
      <c r="F7" s="454"/>
      <c r="G7" s="454"/>
      <c r="H7" s="455"/>
      <c r="I7" s="454"/>
      <c r="J7" s="454"/>
      <c r="K7" s="454"/>
      <c r="L7" s="456"/>
      <c r="M7" s="456"/>
      <c r="N7" s="456"/>
      <c r="O7" s="457"/>
      <c r="P7" s="456"/>
      <c r="Q7" s="458"/>
      <c r="R7" s="458"/>
      <c r="S7" s="458"/>
      <c r="T7" s="458"/>
      <c r="U7" s="458"/>
      <c r="V7" s="458"/>
      <c r="W7" s="454"/>
      <c r="X7" s="458"/>
      <c r="Y7" s="462"/>
      <c r="Z7" s="460"/>
      <c r="AA7" s="458"/>
    </row>
    <row r="8" spans="1:27">
      <c r="A8" s="201">
        <f>A6+1</f>
        <v>164</v>
      </c>
      <c r="B8" s="463" t="s">
        <v>395</v>
      </c>
      <c r="C8" s="89">
        <v>650000</v>
      </c>
      <c r="L8" s="464"/>
      <c r="M8" s="464">
        <v>15000</v>
      </c>
      <c r="N8" s="464">
        <f t="shared" ref="N8:N19" si="0">L8+M8</f>
        <v>15000</v>
      </c>
      <c r="O8" s="465" t="s">
        <v>396</v>
      </c>
      <c r="P8" s="464">
        <v>15000</v>
      </c>
      <c r="Q8" s="466">
        <v>15000</v>
      </c>
      <c r="R8" s="466"/>
      <c r="S8" s="466">
        <v>15000</v>
      </c>
      <c r="T8" s="66">
        <f t="shared" ref="T8:T19" si="1">R8+S8</f>
        <v>15000</v>
      </c>
      <c r="U8" s="66">
        <f t="shared" ref="U8:U15" si="2">Q8+T8</f>
        <v>30000</v>
      </c>
      <c r="V8" s="66">
        <f t="shared" ref="V8:V19" si="3">U8+P8</f>
        <v>45000</v>
      </c>
      <c r="X8" s="66"/>
      <c r="Y8" s="467" t="s">
        <v>397</v>
      </c>
      <c r="Z8" s="257">
        <v>30000</v>
      </c>
      <c r="AA8" s="66"/>
    </row>
    <row r="9" spans="1:27" ht="47.25">
      <c r="A9" s="201">
        <f t="shared" ref="A9:A14" si="4">A8+1</f>
        <v>165</v>
      </c>
      <c r="B9" s="382" t="s">
        <v>398</v>
      </c>
      <c r="D9" s="89">
        <v>45000</v>
      </c>
      <c r="E9" s="89">
        <v>3490</v>
      </c>
      <c r="F9" s="89">
        <v>25000</v>
      </c>
      <c r="G9" s="89">
        <v>45000</v>
      </c>
      <c r="H9" s="256" t="s">
        <v>399</v>
      </c>
      <c r="J9" s="89">
        <v>20000</v>
      </c>
      <c r="K9" s="89">
        <f>J9</f>
        <v>20000</v>
      </c>
      <c r="L9" s="464"/>
      <c r="M9" s="464">
        <v>25000</v>
      </c>
      <c r="N9" s="464">
        <f t="shared" si="0"/>
        <v>25000</v>
      </c>
      <c r="O9" s="465" t="s">
        <v>400</v>
      </c>
      <c r="P9" s="464">
        <v>25000</v>
      </c>
      <c r="Q9" s="466">
        <v>25000</v>
      </c>
      <c r="R9" s="466">
        <v>5000</v>
      </c>
      <c r="S9" s="466">
        <v>25000</v>
      </c>
      <c r="T9" s="66">
        <f t="shared" si="1"/>
        <v>30000</v>
      </c>
      <c r="U9" s="66">
        <f t="shared" si="2"/>
        <v>55000</v>
      </c>
      <c r="V9" s="66">
        <f t="shared" si="3"/>
        <v>80000</v>
      </c>
      <c r="W9" s="89">
        <f t="shared" ref="W9:W19" si="5">E9+G9+K9</f>
        <v>68490</v>
      </c>
      <c r="X9" s="66"/>
      <c r="Y9" s="468"/>
      <c r="Z9" s="257">
        <v>55000</v>
      </c>
      <c r="AA9" s="66">
        <v>45000</v>
      </c>
    </row>
    <row r="10" spans="1:27" ht="33" customHeight="1">
      <c r="A10" s="201">
        <f t="shared" si="4"/>
        <v>166</v>
      </c>
      <c r="B10" s="463" t="s">
        <v>401</v>
      </c>
      <c r="D10" s="89">
        <v>350000</v>
      </c>
      <c r="F10" s="89">
        <v>116667</v>
      </c>
      <c r="G10" s="89">
        <v>116667</v>
      </c>
      <c r="H10" s="469" t="s">
        <v>402</v>
      </c>
      <c r="J10" s="89">
        <v>116000</v>
      </c>
      <c r="K10" s="89">
        <f t="shared" ref="K10:K18" si="6">J10</f>
        <v>116000</v>
      </c>
      <c r="L10" s="464">
        <v>4000</v>
      </c>
      <c r="M10" s="464">
        <v>116000</v>
      </c>
      <c r="N10" s="464">
        <f t="shared" si="0"/>
        <v>120000</v>
      </c>
      <c r="O10" s="465" t="s">
        <v>403</v>
      </c>
      <c r="P10" s="464">
        <v>120000</v>
      </c>
      <c r="Q10" s="470">
        <v>125000</v>
      </c>
      <c r="R10" s="470">
        <v>0</v>
      </c>
      <c r="S10" s="470">
        <v>125000</v>
      </c>
      <c r="T10" s="66">
        <f t="shared" si="1"/>
        <v>125000</v>
      </c>
      <c r="U10" s="66">
        <f>Q10+T10</f>
        <v>250000</v>
      </c>
      <c r="V10" s="66">
        <f t="shared" si="3"/>
        <v>370000</v>
      </c>
      <c r="W10" s="89">
        <f t="shared" si="5"/>
        <v>232667</v>
      </c>
      <c r="X10" s="66"/>
      <c r="Y10" s="467" t="s">
        <v>404</v>
      </c>
      <c r="Z10" s="257">
        <v>305000</v>
      </c>
      <c r="AA10" s="66">
        <v>350000</v>
      </c>
    </row>
    <row r="11" spans="1:27">
      <c r="A11" s="201">
        <f t="shared" si="4"/>
        <v>167</v>
      </c>
      <c r="B11" s="463" t="s">
        <v>405</v>
      </c>
      <c r="D11" s="89">
        <v>45000</v>
      </c>
      <c r="F11" s="89">
        <v>15000</v>
      </c>
      <c r="G11" s="89">
        <v>0</v>
      </c>
      <c r="H11" s="256" t="s">
        <v>406</v>
      </c>
      <c r="I11" s="89">
        <v>12000</v>
      </c>
      <c r="J11" s="89">
        <v>15000</v>
      </c>
      <c r="K11" s="89">
        <f t="shared" si="6"/>
        <v>15000</v>
      </c>
      <c r="L11" s="464"/>
      <c r="M11" s="464">
        <v>15000</v>
      </c>
      <c r="N11" s="464">
        <f t="shared" si="0"/>
        <v>15000</v>
      </c>
      <c r="O11" s="465" t="s">
        <v>407</v>
      </c>
      <c r="P11" s="464">
        <v>15000</v>
      </c>
      <c r="Q11" s="466">
        <v>15000</v>
      </c>
      <c r="R11" s="466"/>
      <c r="S11" s="466">
        <v>15000</v>
      </c>
      <c r="T11" s="66">
        <f t="shared" si="1"/>
        <v>15000</v>
      </c>
      <c r="U11" s="66">
        <f t="shared" si="2"/>
        <v>30000</v>
      </c>
      <c r="V11" s="66">
        <f t="shared" si="3"/>
        <v>45000</v>
      </c>
      <c r="W11" s="89">
        <f t="shared" si="5"/>
        <v>15000</v>
      </c>
      <c r="X11" s="66"/>
      <c r="Y11" s="467"/>
      <c r="Z11" s="257">
        <v>30000</v>
      </c>
      <c r="AA11" s="66">
        <v>45000</v>
      </c>
    </row>
    <row r="12" spans="1:27" ht="31.5">
      <c r="A12" s="201">
        <f t="shared" si="4"/>
        <v>168</v>
      </c>
      <c r="B12" s="382" t="s">
        <v>408</v>
      </c>
      <c r="D12" s="89">
        <v>60000</v>
      </c>
      <c r="F12" s="89">
        <v>20000</v>
      </c>
      <c r="G12" s="89">
        <v>0</v>
      </c>
      <c r="H12" s="256" t="s">
        <v>409</v>
      </c>
      <c r="J12" s="89">
        <v>10000</v>
      </c>
      <c r="K12" s="89">
        <f t="shared" si="6"/>
        <v>10000</v>
      </c>
      <c r="L12" s="464"/>
      <c r="M12" s="464">
        <v>40000</v>
      </c>
      <c r="N12" s="464">
        <f t="shared" si="0"/>
        <v>40000</v>
      </c>
      <c r="O12" s="465"/>
      <c r="P12" s="464">
        <v>40000</v>
      </c>
      <c r="Q12" s="466">
        <v>40000</v>
      </c>
      <c r="R12" s="466">
        <v>5000</v>
      </c>
      <c r="S12" s="466">
        <v>40000</v>
      </c>
      <c r="T12" s="66">
        <f t="shared" si="1"/>
        <v>45000</v>
      </c>
      <c r="U12" s="66">
        <f t="shared" si="2"/>
        <v>85000</v>
      </c>
      <c r="V12" s="66">
        <f t="shared" si="3"/>
        <v>125000</v>
      </c>
      <c r="W12" s="89">
        <f t="shared" si="5"/>
        <v>10000</v>
      </c>
      <c r="X12" s="66"/>
      <c r="Y12" s="471" t="s">
        <v>410</v>
      </c>
      <c r="Z12" s="257">
        <v>85000</v>
      </c>
      <c r="AA12" s="66">
        <v>60000</v>
      </c>
    </row>
    <row r="13" spans="1:27">
      <c r="A13" s="201">
        <f t="shared" si="4"/>
        <v>169</v>
      </c>
      <c r="B13" s="381" t="s">
        <v>411</v>
      </c>
      <c r="D13" s="89">
        <v>0</v>
      </c>
      <c r="G13" s="89">
        <v>0</v>
      </c>
      <c r="K13" s="89">
        <f t="shared" si="6"/>
        <v>0</v>
      </c>
      <c r="L13" s="464"/>
      <c r="M13" s="464"/>
      <c r="N13" s="464">
        <f t="shared" si="0"/>
        <v>0</v>
      </c>
      <c r="O13" s="465"/>
      <c r="P13" s="464">
        <v>0</v>
      </c>
      <c r="Q13" s="466"/>
      <c r="R13" s="466"/>
      <c r="S13" s="466"/>
      <c r="T13" s="66">
        <f t="shared" si="1"/>
        <v>0</v>
      </c>
      <c r="U13" s="66">
        <f t="shared" si="2"/>
        <v>0</v>
      </c>
      <c r="V13" s="66">
        <f t="shared" si="3"/>
        <v>0</v>
      </c>
      <c r="W13" s="89">
        <f t="shared" si="5"/>
        <v>0</v>
      </c>
      <c r="X13" s="66"/>
      <c r="Y13" s="467"/>
      <c r="Z13" s="257">
        <v>0</v>
      </c>
      <c r="AA13" s="66">
        <v>0</v>
      </c>
    </row>
    <row r="14" spans="1:27">
      <c r="A14" s="201">
        <f t="shared" si="4"/>
        <v>170</v>
      </c>
      <c r="B14" s="382" t="s">
        <v>412</v>
      </c>
      <c r="D14" s="89">
        <v>0</v>
      </c>
      <c r="H14" s="256" t="s">
        <v>413</v>
      </c>
      <c r="J14" s="89">
        <v>5000</v>
      </c>
      <c r="K14" s="89">
        <f t="shared" si="6"/>
        <v>5000</v>
      </c>
      <c r="L14" s="464"/>
      <c r="M14" s="464">
        <v>10000</v>
      </c>
      <c r="N14" s="464">
        <f t="shared" si="0"/>
        <v>10000</v>
      </c>
      <c r="O14" s="465" t="s">
        <v>414</v>
      </c>
      <c r="P14" s="464">
        <v>10000</v>
      </c>
      <c r="Q14" s="466">
        <v>10000</v>
      </c>
      <c r="R14" s="466"/>
      <c r="S14" s="466">
        <v>10000</v>
      </c>
      <c r="T14" s="66">
        <f t="shared" si="1"/>
        <v>10000</v>
      </c>
      <c r="U14" s="66">
        <f t="shared" si="2"/>
        <v>20000</v>
      </c>
      <c r="V14" s="66">
        <f t="shared" si="3"/>
        <v>30000</v>
      </c>
      <c r="W14" s="89">
        <f t="shared" si="5"/>
        <v>5000</v>
      </c>
      <c r="X14" s="66"/>
      <c r="Y14" s="467"/>
      <c r="Z14" s="257">
        <v>20000</v>
      </c>
      <c r="AA14" s="66">
        <v>0</v>
      </c>
    </row>
    <row r="15" spans="1:27" ht="31.5">
      <c r="A15" s="201" t="s">
        <v>415</v>
      </c>
      <c r="B15" s="382" t="s">
        <v>416</v>
      </c>
      <c r="D15" s="89">
        <v>90000</v>
      </c>
      <c r="E15" s="89">
        <f>22726+3239+58</f>
        <v>26023</v>
      </c>
      <c r="F15" s="89">
        <v>30000</v>
      </c>
      <c r="G15" s="89">
        <v>15000</v>
      </c>
      <c r="H15" s="256" t="s">
        <v>417</v>
      </c>
      <c r="I15" s="89">
        <v>8000</v>
      </c>
      <c r="J15" s="89">
        <v>26000</v>
      </c>
      <c r="K15" s="89">
        <f t="shared" si="6"/>
        <v>26000</v>
      </c>
      <c r="L15" s="464">
        <v>8000</v>
      </c>
      <c r="M15" s="464">
        <v>35000</v>
      </c>
      <c r="N15" s="464">
        <f t="shared" si="0"/>
        <v>43000</v>
      </c>
      <c r="O15" s="465"/>
      <c r="P15" s="464">
        <v>43000</v>
      </c>
      <c r="Q15" s="466">
        <v>35000</v>
      </c>
      <c r="R15" s="466">
        <v>5000</v>
      </c>
      <c r="S15" s="466">
        <v>35000</v>
      </c>
      <c r="T15" s="66">
        <f t="shared" si="1"/>
        <v>40000</v>
      </c>
      <c r="U15" s="66">
        <f t="shared" si="2"/>
        <v>75000</v>
      </c>
      <c r="V15" s="66">
        <f t="shared" si="3"/>
        <v>118000</v>
      </c>
      <c r="W15" s="89">
        <f t="shared" si="5"/>
        <v>67023</v>
      </c>
      <c r="X15" s="66"/>
      <c r="Y15" s="467" t="s">
        <v>418</v>
      </c>
      <c r="Z15" s="257">
        <v>90000</v>
      </c>
      <c r="AA15" s="66">
        <v>90000</v>
      </c>
    </row>
    <row r="16" spans="1:27" ht="43.15" customHeight="1">
      <c r="A16" s="201">
        <v>172</v>
      </c>
      <c r="B16" s="472" t="s">
        <v>419</v>
      </c>
      <c r="C16" s="89">
        <v>0</v>
      </c>
      <c r="D16" s="89">
        <v>275374.21883553331</v>
      </c>
      <c r="E16" s="347">
        <v>22215</v>
      </c>
      <c r="F16" s="347">
        <f>'[3]Salary Summary 19 for 2019-2021'!L14</f>
        <v>98731.208399999989</v>
      </c>
      <c r="G16" s="347">
        <f>F16</f>
        <v>98731.208399999989</v>
      </c>
      <c r="H16" s="349"/>
      <c r="I16" s="347"/>
      <c r="J16" s="347">
        <f>'[3]Salary Summary 20 for 2019-2021'!P14</f>
        <v>81771.83157200001</v>
      </c>
      <c r="K16" s="89">
        <f t="shared" si="6"/>
        <v>81771.83157200001</v>
      </c>
      <c r="L16" s="350"/>
      <c r="M16" s="464">
        <f>'Salary Summary 21 for 2022-2024'!M15</f>
        <v>91872.727843400018</v>
      </c>
      <c r="N16" s="464">
        <f t="shared" si="0"/>
        <v>91872.727843400018</v>
      </c>
      <c r="O16" s="465" t="s">
        <v>420</v>
      </c>
      <c r="P16" s="464">
        <v>95000</v>
      </c>
      <c r="Q16" s="205">
        <f>'Salary Summary 21 for 2022-2024'!Q15</f>
        <v>93643.963318350026</v>
      </c>
      <c r="R16" s="466"/>
      <c r="S16" s="205">
        <f>'Salary Summary 21 for 2022-2024'!U15</f>
        <v>96564.116518593655</v>
      </c>
      <c r="T16" s="66">
        <f t="shared" si="1"/>
        <v>96564.116518593655</v>
      </c>
      <c r="U16" s="66">
        <f>Q16+T16</f>
        <v>190208.07983694368</v>
      </c>
      <c r="V16" s="66">
        <f t="shared" si="3"/>
        <v>285208.07983694365</v>
      </c>
      <c r="W16" s="89">
        <f t="shared" si="5"/>
        <v>202718.039972</v>
      </c>
      <c r="X16" s="66"/>
      <c r="Y16" s="473"/>
      <c r="Z16" s="257">
        <v>190208.07983694368</v>
      </c>
      <c r="AA16" s="66">
        <v>275374.21883553336</v>
      </c>
    </row>
    <row r="17" spans="1:27" ht="63">
      <c r="A17" s="201" t="s">
        <v>421</v>
      </c>
      <c r="B17" s="463" t="s">
        <v>422</v>
      </c>
      <c r="D17" s="89">
        <v>134626</v>
      </c>
      <c r="E17" s="474">
        <v>163058</v>
      </c>
      <c r="F17" s="89">
        <v>45000</v>
      </c>
      <c r="G17" s="89">
        <v>35000</v>
      </c>
      <c r="H17" s="267" t="s">
        <v>423</v>
      </c>
      <c r="J17" s="89">
        <v>34626</v>
      </c>
      <c r="K17" s="89">
        <f t="shared" si="6"/>
        <v>34626</v>
      </c>
      <c r="L17" s="464"/>
      <c r="M17" s="464"/>
      <c r="N17" s="464">
        <f t="shared" si="0"/>
        <v>0</v>
      </c>
      <c r="O17" s="465" t="s">
        <v>410</v>
      </c>
      <c r="P17" s="464"/>
      <c r="Q17" s="466"/>
      <c r="R17" s="466">
        <v>5000</v>
      </c>
      <c r="S17" s="466"/>
      <c r="T17" s="66">
        <f t="shared" si="1"/>
        <v>5000</v>
      </c>
      <c r="U17" s="66">
        <f t="shared" ref="U17:U19" si="7">Q17+T17</f>
        <v>5000</v>
      </c>
      <c r="V17" s="66">
        <f t="shared" si="3"/>
        <v>5000</v>
      </c>
      <c r="W17" s="89">
        <f t="shared" si="5"/>
        <v>232684</v>
      </c>
      <c r="X17" s="66"/>
      <c r="Y17" s="467"/>
      <c r="Z17" s="257">
        <v>5000</v>
      </c>
      <c r="AA17" s="66">
        <v>134626</v>
      </c>
    </row>
    <row r="18" spans="1:27">
      <c r="A18" s="201" t="s">
        <v>424</v>
      </c>
      <c r="B18" s="463" t="s">
        <v>425</v>
      </c>
      <c r="D18" s="89">
        <v>0</v>
      </c>
      <c r="E18" s="475"/>
      <c r="F18" s="89">
        <v>14000</v>
      </c>
      <c r="G18" s="89">
        <v>4000</v>
      </c>
      <c r="H18" s="256" t="s">
        <v>426</v>
      </c>
      <c r="J18" s="89">
        <v>14000</v>
      </c>
      <c r="K18" s="89">
        <f t="shared" si="6"/>
        <v>14000</v>
      </c>
      <c r="L18" s="464"/>
      <c r="M18" s="464"/>
      <c r="N18" s="464">
        <f t="shared" si="0"/>
        <v>0</v>
      </c>
      <c r="O18" s="465"/>
      <c r="P18" s="464">
        <v>0</v>
      </c>
      <c r="Q18" s="466"/>
      <c r="R18" s="466"/>
      <c r="S18" s="466"/>
      <c r="T18" s="66">
        <f t="shared" si="1"/>
        <v>0</v>
      </c>
      <c r="U18" s="66">
        <f t="shared" si="7"/>
        <v>0</v>
      </c>
      <c r="V18" s="66">
        <f t="shared" si="3"/>
        <v>0</v>
      </c>
      <c r="W18" s="89">
        <f t="shared" si="5"/>
        <v>18000</v>
      </c>
      <c r="X18" s="66"/>
      <c r="Y18" s="462"/>
      <c r="Z18" s="257">
        <v>0</v>
      </c>
      <c r="AA18" s="66"/>
    </row>
    <row r="19" spans="1:27">
      <c r="A19" s="201" t="s">
        <v>427</v>
      </c>
      <c r="B19" s="463" t="s">
        <v>188</v>
      </c>
      <c r="E19" s="475"/>
      <c r="K19" s="89">
        <f>I20</f>
        <v>20000</v>
      </c>
      <c r="L19" s="464"/>
      <c r="M19" s="464"/>
      <c r="N19" s="464">
        <f t="shared" si="0"/>
        <v>0</v>
      </c>
      <c r="O19" s="465"/>
      <c r="P19" s="464">
        <v>0</v>
      </c>
      <c r="Q19" s="466"/>
      <c r="R19" s="466"/>
      <c r="S19" s="466"/>
      <c r="T19" s="66">
        <f t="shared" si="1"/>
        <v>0</v>
      </c>
      <c r="U19" s="66">
        <f t="shared" si="7"/>
        <v>0</v>
      </c>
      <c r="V19" s="66">
        <f t="shared" si="3"/>
        <v>0</v>
      </c>
      <c r="W19" s="89">
        <f t="shared" si="5"/>
        <v>20000</v>
      </c>
      <c r="X19" s="66"/>
      <c r="Y19" s="467"/>
      <c r="Z19" s="257">
        <v>0</v>
      </c>
      <c r="AA19" s="66"/>
    </row>
    <row r="20" spans="1:27" s="479" customFormat="1" ht="16.149999999999999" thickBot="1">
      <c r="A20" s="247">
        <v>174</v>
      </c>
      <c r="B20" s="476" t="s">
        <v>428</v>
      </c>
      <c r="C20" s="249">
        <f>SUM(C8:C15)</f>
        <v>650000</v>
      </c>
      <c r="D20" s="249">
        <f>SUM(D9:D19)</f>
        <v>1000000.2188355334</v>
      </c>
      <c r="E20" s="249">
        <f t="shared" ref="E20:H20" si="8">SUM(E9:E19)</f>
        <v>214786</v>
      </c>
      <c r="F20" s="249">
        <f t="shared" si="8"/>
        <v>364398.2084</v>
      </c>
      <c r="G20" s="249">
        <f t="shared" si="8"/>
        <v>314398.2084</v>
      </c>
      <c r="H20" s="249">
        <f t="shared" si="8"/>
        <v>0</v>
      </c>
      <c r="I20" s="249">
        <f t="shared" ref="I20:M20" si="9">SUM(I8:I19)</f>
        <v>20000</v>
      </c>
      <c r="J20" s="249">
        <f t="shared" si="9"/>
        <v>322397.831572</v>
      </c>
      <c r="K20" s="249">
        <f t="shared" si="9"/>
        <v>342397.831572</v>
      </c>
      <c r="L20" s="250">
        <f t="shared" si="9"/>
        <v>12000</v>
      </c>
      <c r="M20" s="250">
        <f t="shared" si="9"/>
        <v>347872.72784340003</v>
      </c>
      <c r="N20" s="250">
        <f>SUM(N8:N19)</f>
        <v>359872.72784340003</v>
      </c>
      <c r="O20" s="477"/>
      <c r="P20" s="250">
        <v>363000</v>
      </c>
      <c r="Q20" s="251">
        <f>SUM(Q8:Q19)</f>
        <v>358643.96331835003</v>
      </c>
      <c r="R20" s="251">
        <f t="shared" ref="R20:V20" si="10">SUM(R8:R19)</f>
        <v>20000</v>
      </c>
      <c r="S20" s="251">
        <f t="shared" si="10"/>
        <v>361564.11651859363</v>
      </c>
      <c r="T20" s="251">
        <f t="shared" si="10"/>
        <v>381564.11651859363</v>
      </c>
      <c r="U20" s="251">
        <f t="shared" si="10"/>
        <v>740208.07983694365</v>
      </c>
      <c r="V20" s="251">
        <f t="shared" si="10"/>
        <v>1103208.0798369437</v>
      </c>
      <c r="W20" s="249">
        <f>SUM(W9:W19)</f>
        <v>871582.03997200006</v>
      </c>
      <c r="X20" s="251"/>
      <c r="Y20" s="478"/>
      <c r="Z20" s="253">
        <v>810208.07983694365</v>
      </c>
      <c r="AA20" s="251">
        <v>1000000.2188355334</v>
      </c>
    </row>
    <row r="21" spans="1:27" s="461" customFormat="1">
      <c r="A21" s="452"/>
      <c r="B21" s="453"/>
      <c r="C21" s="454"/>
      <c r="D21" s="454"/>
      <c r="E21" s="454"/>
      <c r="F21" s="454"/>
      <c r="G21" s="454"/>
      <c r="H21" s="455"/>
      <c r="I21" s="454"/>
      <c r="J21" s="454"/>
      <c r="K21" s="454"/>
      <c r="L21" s="456"/>
      <c r="M21" s="456"/>
      <c r="N21" s="456"/>
      <c r="O21" s="457"/>
      <c r="P21" s="456"/>
      <c r="Q21" s="458"/>
      <c r="R21" s="458"/>
      <c r="S21" s="458"/>
      <c r="T21" s="458"/>
      <c r="U21" s="458"/>
      <c r="V21" s="458"/>
      <c r="W21" s="454"/>
      <c r="X21" s="458"/>
      <c r="Y21" s="462"/>
      <c r="Z21" s="460"/>
      <c r="AA21" s="458"/>
    </row>
    <row r="22" spans="1:27">
      <c r="K22" s="89">
        <f>SUM(I22:J22)</f>
        <v>0</v>
      </c>
      <c r="L22" s="464"/>
      <c r="M22" s="464"/>
      <c r="N22" s="464"/>
      <c r="O22" s="465"/>
      <c r="P22" s="464"/>
      <c r="Q22" s="466"/>
      <c r="R22" s="466"/>
      <c r="S22" s="466"/>
      <c r="T22" s="466"/>
      <c r="U22" s="466"/>
      <c r="V22" s="466"/>
      <c r="X22" s="466"/>
      <c r="Y22" s="467"/>
      <c r="AA22" s="466"/>
    </row>
    <row r="23" spans="1:27">
      <c r="B23" s="480"/>
      <c r="C23" s="258"/>
      <c r="D23" s="258"/>
      <c r="E23" s="258"/>
      <c r="F23" s="258"/>
      <c r="G23" s="258"/>
      <c r="H23" s="481"/>
      <c r="I23" s="258"/>
      <c r="J23" s="258"/>
      <c r="K23" s="258"/>
      <c r="L23" s="258"/>
      <c r="M23" s="258"/>
      <c r="N23" s="258"/>
      <c r="O23" s="465"/>
      <c r="P23" s="258"/>
      <c r="W23" s="258"/>
      <c r="Z23" s="482"/>
    </row>
    <row r="24" spans="1:27" s="8" customFormat="1">
      <c r="A24" s="201"/>
      <c r="B24" s="463"/>
      <c r="C24" s="89"/>
      <c r="D24" s="89"/>
      <c r="E24" s="89"/>
      <c r="F24" s="89"/>
      <c r="G24" s="89"/>
      <c r="H24" s="256"/>
      <c r="I24" s="89"/>
      <c r="J24" s="89"/>
      <c r="K24" s="89"/>
      <c r="L24" s="89"/>
      <c r="M24" s="89"/>
      <c r="N24" s="89"/>
      <c r="O24" s="465"/>
      <c r="P24" s="89"/>
      <c r="W24" s="89"/>
      <c r="Y24" s="184"/>
      <c r="Z24" s="257"/>
    </row>
    <row r="25" spans="1:27" s="8" customFormat="1">
      <c r="A25" s="201"/>
      <c r="B25" s="463"/>
      <c r="C25" s="89"/>
      <c r="D25" s="89"/>
      <c r="E25" s="89"/>
      <c r="F25" s="89"/>
      <c r="G25" s="89"/>
      <c r="H25" s="256"/>
      <c r="I25" s="89"/>
      <c r="J25" s="89"/>
      <c r="K25" s="89"/>
      <c r="L25" s="89"/>
      <c r="M25" s="89"/>
      <c r="N25" s="89"/>
      <c r="O25" s="465"/>
      <c r="P25" s="89"/>
      <c r="W25" s="89"/>
      <c r="Y25" s="184"/>
      <c r="Z25" s="257"/>
    </row>
    <row r="26" spans="1:27" s="8" customFormat="1">
      <c r="A26" s="201"/>
      <c r="B26" s="483"/>
      <c r="C26" s="259"/>
      <c r="D26" s="259"/>
      <c r="E26" s="259"/>
      <c r="F26" s="259"/>
      <c r="G26" s="259"/>
      <c r="H26" s="260"/>
      <c r="I26" s="259"/>
      <c r="J26" s="259"/>
      <c r="K26" s="259"/>
      <c r="L26" s="259"/>
      <c r="M26" s="259"/>
      <c r="N26" s="259"/>
      <c r="O26" s="484"/>
      <c r="P26" s="259"/>
      <c r="W26" s="259"/>
      <c r="Y26" s="184"/>
      <c r="Z26" s="261"/>
    </row>
    <row r="27" spans="1:27" s="8" customFormat="1">
      <c r="A27" s="201"/>
      <c r="B27" s="483"/>
      <c r="C27" s="259"/>
      <c r="D27" s="259"/>
      <c r="E27" s="259"/>
      <c r="F27" s="259">
        <f>SUBTOTAL(9,F9:F12)</f>
        <v>176667</v>
      </c>
      <c r="G27" s="259"/>
      <c r="H27" s="260"/>
      <c r="I27" s="259"/>
      <c r="J27" s="259"/>
      <c r="K27" s="259"/>
      <c r="L27" s="259"/>
      <c r="M27" s="259"/>
      <c r="N27" s="259"/>
      <c r="O27" s="484"/>
      <c r="P27" s="259"/>
      <c r="W27" s="259"/>
      <c r="Y27" s="184"/>
      <c r="Z27" s="261"/>
    </row>
    <row r="28" spans="1:27" s="8" customFormat="1">
      <c r="A28" s="201"/>
      <c r="B28" s="483"/>
      <c r="C28" s="259"/>
      <c r="D28" s="259"/>
      <c r="E28" s="259"/>
      <c r="F28" s="259">
        <v>161000</v>
      </c>
      <c r="G28" s="259"/>
      <c r="H28" s="260"/>
      <c r="I28" s="259"/>
      <c r="J28" s="259"/>
      <c r="K28" s="259"/>
      <c r="L28" s="259"/>
      <c r="M28" s="259"/>
      <c r="N28" s="259"/>
      <c r="O28" s="484"/>
      <c r="P28" s="259"/>
      <c r="W28" s="259"/>
      <c r="Y28" s="184"/>
      <c r="Z28" s="261"/>
    </row>
    <row r="29" spans="1:27">
      <c r="B29" s="483"/>
      <c r="C29" s="259"/>
      <c r="D29" s="259"/>
      <c r="E29" s="259"/>
      <c r="F29" s="259"/>
      <c r="G29" s="259"/>
      <c r="H29" s="260"/>
      <c r="I29" s="259"/>
      <c r="J29" s="259"/>
      <c r="K29" s="259"/>
      <c r="L29" s="259"/>
      <c r="M29" s="259"/>
      <c r="N29" s="259"/>
      <c r="O29" s="484"/>
      <c r="P29" s="259"/>
      <c r="W29" s="259"/>
      <c r="Z29" s="261"/>
    </row>
    <row r="30" spans="1:27">
      <c r="B30" s="483"/>
      <c r="C30" s="485"/>
      <c r="D30" s="485"/>
      <c r="E30" s="485"/>
      <c r="F30" s="485"/>
      <c r="G30" s="485"/>
      <c r="H30" s="486"/>
      <c r="I30" s="485"/>
      <c r="J30" s="485"/>
      <c r="K30" s="485"/>
      <c r="L30" s="485"/>
      <c r="M30" s="485"/>
      <c r="N30" s="485"/>
      <c r="O30" s="487"/>
      <c r="P30" s="485"/>
      <c r="W30" s="485"/>
      <c r="Z30" s="488"/>
    </row>
    <row r="31" spans="1:27">
      <c r="B31" s="483"/>
      <c r="C31" s="485"/>
      <c r="D31" s="485"/>
      <c r="E31" s="485"/>
      <c r="F31" s="485"/>
      <c r="G31" s="485"/>
      <c r="H31" s="486"/>
      <c r="I31" s="485"/>
      <c r="J31" s="485"/>
      <c r="K31" s="485"/>
      <c r="L31" s="485"/>
      <c r="M31" s="485"/>
      <c r="N31" s="485"/>
      <c r="O31" s="487"/>
      <c r="P31" s="485"/>
      <c r="W31" s="485"/>
      <c r="Z31" s="488"/>
    </row>
    <row r="32" spans="1:27">
      <c r="O32" s="465"/>
    </row>
    <row r="33" spans="1:23">
      <c r="O33" s="465"/>
    </row>
    <row r="34" spans="1:23">
      <c r="O34" s="465"/>
    </row>
    <row r="35" spans="1:23">
      <c r="O35" s="465"/>
    </row>
    <row r="36" spans="1:23">
      <c r="O36" s="465"/>
    </row>
    <row r="37" spans="1:23">
      <c r="O37" s="465"/>
    </row>
    <row r="38" spans="1:23">
      <c r="O38" s="465"/>
    </row>
    <row r="39" spans="1:23">
      <c r="O39" s="465"/>
    </row>
    <row r="40" spans="1:23">
      <c r="O40" s="465"/>
    </row>
    <row r="41" spans="1:23">
      <c r="O41" s="465"/>
    </row>
    <row r="43" spans="1:23">
      <c r="A43" s="201" t="s">
        <v>429</v>
      </c>
      <c r="B43" s="463" t="s">
        <v>195</v>
      </c>
      <c r="K43" s="89">
        <v>12000</v>
      </c>
    </row>
    <row r="44" spans="1:23">
      <c r="K44" s="89">
        <f>SUM(K35:K43)</f>
        <v>12000</v>
      </c>
      <c r="W44" s="89">
        <f>SUM(W35:W43)</f>
        <v>0</v>
      </c>
    </row>
    <row r="50" spans="10:10">
      <c r="J50" s="89">
        <f>SUM(J46:J49)</f>
        <v>0</v>
      </c>
    </row>
    <row r="65" spans="1:15">
      <c r="A65" s="201" t="s">
        <v>194</v>
      </c>
      <c r="B65" s="463" t="s">
        <v>195</v>
      </c>
      <c r="K65" s="89">
        <v>6000</v>
      </c>
    </row>
    <row r="66" spans="1:15">
      <c r="J66" s="89">
        <f>SUM(J55:J65)</f>
        <v>0</v>
      </c>
      <c r="K66" s="89">
        <f>SUM(K55:K65)</f>
        <v>6000</v>
      </c>
    </row>
    <row r="78" spans="1:15">
      <c r="O78" s="444" t="s">
        <v>196</v>
      </c>
    </row>
  </sheetData>
  <autoFilter ref="A5:O25" xr:uid="{B3184E47-F1F2-4D37-BBCF-A21404B0025E}"/>
  <mergeCells count="1">
    <mergeCell ref="A3:B3"/>
  </mergeCells>
  <printOptions horizontalCentered="1" headings="1" gridLines="1"/>
  <pageMargins left="0" right="0" top="0.75" bottom="0.25" header="0.25" footer="0.25"/>
  <pageSetup scale="39" orientation="landscape" r:id="rId1"/>
  <headerFooter>
    <oddFooter>Page &amp;P of &amp;N</oddFooter>
  </headerFooter>
  <colBreaks count="1" manualBreakCount="1">
    <brk id="15" max="2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E9442-AE67-479D-811E-7AE5E91A1BDA}">
  <sheetPr>
    <tabColor rgb="FF00B050"/>
    <pageSetUpPr fitToPage="1"/>
  </sheetPr>
  <dimension ref="A1:AA149"/>
  <sheetViews>
    <sheetView tabSelected="1" view="pageBreakPreview" zoomScale="75" zoomScaleNormal="100" zoomScaleSheetLayoutView="75" workbookViewId="0">
      <pane xSplit="11" ySplit="6" topLeftCell="P7" activePane="bottomRight" state="frozen"/>
      <selection activeCell="Y25" sqref="Y25"/>
      <selection pane="topRight" activeCell="Y25" sqref="Y25"/>
      <selection pane="bottomLeft" activeCell="Y25" sqref="Y25"/>
      <selection pane="bottomRight" activeCell="Y25" sqref="Y25"/>
    </sheetView>
  </sheetViews>
  <sheetFormatPr defaultColWidth="10.5625" defaultRowHeight="15.75"/>
  <cols>
    <col min="1" max="1" width="10.5625" style="236"/>
    <col min="2" max="2" width="39" style="502" customWidth="1"/>
    <col min="3" max="3" width="15.3125" style="238" hidden="1" customWidth="1"/>
    <col min="4" max="4" width="16.0625" style="238" hidden="1" customWidth="1"/>
    <col min="5" max="5" width="14.25" style="238" hidden="1" customWidth="1"/>
    <col min="6" max="6" width="23.3125" style="238" hidden="1" customWidth="1"/>
    <col min="7" max="7" width="15.75" style="238" hidden="1" customWidth="1"/>
    <col min="8" max="8" width="16.5625" style="300" hidden="1" customWidth="1"/>
    <col min="9" max="9" width="13.3125" style="238" hidden="1" customWidth="1"/>
    <col min="10" max="10" width="22.5" style="238" hidden="1" customWidth="1"/>
    <col min="11" max="11" width="29.8125" style="238" hidden="1" customWidth="1"/>
    <col min="12" max="12" width="12.8125" style="238" hidden="1" customWidth="1"/>
    <col min="13" max="13" width="14.3125" style="238" hidden="1" customWidth="1"/>
    <col min="14" max="14" width="10.3125" style="238" hidden="1" customWidth="1"/>
    <col min="15" max="15" width="9.5" style="523" hidden="1" customWidth="1"/>
    <col min="16" max="16" width="13.3125" style="238" customWidth="1"/>
    <col min="17" max="17" width="20.8125" style="89" customWidth="1"/>
    <col min="18" max="18" width="18" style="89" customWidth="1"/>
    <col min="19" max="19" width="20.3125" style="89" customWidth="1"/>
    <col min="20" max="20" width="14.5" style="89" customWidth="1"/>
    <col min="21" max="22" width="19.8125" style="89" customWidth="1"/>
    <col min="23" max="23" width="18.75" style="238" customWidth="1"/>
    <col min="24" max="24" width="25.3125" style="89" customWidth="1"/>
    <col min="25" max="25" width="51.75" style="8" customWidth="1"/>
    <col min="26" max="26" width="16.9375" style="346" customWidth="1"/>
    <col min="27" max="27" width="14.5625" style="8" customWidth="1"/>
    <col min="28" max="16384" width="10.5625" style="503"/>
  </cols>
  <sheetData>
    <row r="1" spans="1:27" s="176" customFormat="1">
      <c r="A1" s="1" t="s">
        <v>0</v>
      </c>
      <c r="C1" s="172"/>
      <c r="D1" s="172"/>
      <c r="E1" s="172"/>
      <c r="F1" s="172"/>
      <c r="G1" s="173"/>
      <c r="H1" s="174"/>
      <c r="I1" s="172"/>
      <c r="J1" s="172"/>
      <c r="K1" s="172"/>
      <c r="L1" s="175"/>
      <c r="M1" s="175"/>
      <c r="O1" s="177" t="s">
        <v>1</v>
      </c>
      <c r="P1" s="178"/>
      <c r="Q1" s="178"/>
      <c r="R1" s="178"/>
      <c r="S1" s="178"/>
      <c r="T1" s="178"/>
      <c r="U1" s="178"/>
      <c r="V1" s="178"/>
      <c r="W1" s="172"/>
      <c r="X1" s="178"/>
      <c r="Y1" s="177" t="s">
        <v>1</v>
      </c>
      <c r="Z1" s="179"/>
    </row>
    <row r="2" spans="1:27" s="176" customFormat="1" ht="16.149999999999999" thickBot="1">
      <c r="A2" s="11" t="s">
        <v>1167</v>
      </c>
      <c r="B2" s="489"/>
      <c r="C2" s="181"/>
      <c r="D2" s="181"/>
      <c r="E2" s="181"/>
      <c r="F2" s="181"/>
      <c r="G2" s="173"/>
      <c r="H2" s="174"/>
      <c r="I2" s="181"/>
      <c r="J2" s="181"/>
      <c r="K2" s="181"/>
      <c r="L2" s="175"/>
      <c r="M2" s="175"/>
      <c r="P2" s="178"/>
      <c r="Q2" s="178"/>
      <c r="R2" s="178"/>
      <c r="S2" s="178"/>
      <c r="T2" s="178"/>
      <c r="U2" s="178"/>
      <c r="V2" s="178"/>
      <c r="W2" s="181"/>
      <c r="X2" s="178"/>
      <c r="Z2" s="179"/>
    </row>
    <row r="3" spans="1:27" s="492" customFormat="1">
      <c r="A3" s="14" t="s">
        <v>430</v>
      </c>
      <c r="B3" s="14"/>
      <c r="C3" s="14"/>
      <c r="D3" s="490"/>
      <c r="E3" s="490"/>
      <c r="F3" s="490"/>
      <c r="G3" s="173"/>
      <c r="H3" s="174"/>
      <c r="I3" s="490"/>
      <c r="J3" s="490"/>
      <c r="K3" s="490"/>
      <c r="L3" s="490"/>
      <c r="M3" s="490"/>
      <c r="N3" s="490"/>
      <c r="O3" s="176"/>
      <c r="P3" s="454"/>
      <c r="Q3" s="178"/>
      <c r="R3" s="178"/>
      <c r="S3" s="178"/>
      <c r="T3" s="178"/>
      <c r="U3" s="178"/>
      <c r="V3" s="178"/>
      <c r="W3" s="454"/>
      <c r="X3" s="178"/>
      <c r="Y3" s="176"/>
      <c r="Z3" s="491"/>
      <c r="AA3" s="176"/>
    </row>
    <row r="4" spans="1:27" s="276" customFormat="1" ht="16.149999999999999" thickBot="1">
      <c r="A4" s="272"/>
      <c r="B4" s="277"/>
      <c r="C4" s="493"/>
      <c r="D4" s="493"/>
      <c r="E4" s="493"/>
      <c r="F4" s="493"/>
      <c r="G4" s="493"/>
      <c r="H4" s="494"/>
      <c r="I4" s="493"/>
      <c r="J4" s="493"/>
      <c r="K4" s="493"/>
      <c r="L4" s="493"/>
      <c r="M4" s="493"/>
      <c r="N4" s="493"/>
      <c r="O4" s="495"/>
      <c r="P4" s="493"/>
      <c r="Q4" s="89"/>
      <c r="R4" s="89"/>
      <c r="S4" s="89"/>
      <c r="T4" s="89"/>
      <c r="U4" s="89"/>
      <c r="V4" s="89"/>
      <c r="W4" s="493"/>
      <c r="X4" s="89"/>
      <c r="Y4" s="189"/>
      <c r="Z4" s="496"/>
      <c r="AA4" s="189"/>
    </row>
    <row r="5" spans="1:27" s="200" customFormat="1" ht="65.55" customHeight="1" thickBot="1">
      <c r="A5" s="25" t="s">
        <v>5</v>
      </c>
      <c r="B5" s="497" t="s">
        <v>6</v>
      </c>
      <c r="C5" s="27" t="s">
        <v>7</v>
      </c>
      <c r="D5" s="28" t="s">
        <v>8</v>
      </c>
      <c r="E5" s="29" t="s">
        <v>9</v>
      </c>
      <c r="F5" s="29" t="s">
        <v>10</v>
      </c>
      <c r="G5" s="192" t="s">
        <v>11</v>
      </c>
      <c r="H5" s="29" t="s">
        <v>12</v>
      </c>
      <c r="I5" s="31" t="s">
        <v>141</v>
      </c>
      <c r="J5" s="31" t="s">
        <v>142</v>
      </c>
      <c r="K5" s="31" t="s">
        <v>15</v>
      </c>
      <c r="L5" s="193" t="s">
        <v>143</v>
      </c>
      <c r="M5" s="193" t="s">
        <v>17</v>
      </c>
      <c r="N5" s="193" t="s">
        <v>144</v>
      </c>
      <c r="O5" s="193" t="s">
        <v>145</v>
      </c>
      <c r="P5" s="498" t="s">
        <v>144</v>
      </c>
      <c r="Q5" s="194" t="s">
        <v>146</v>
      </c>
      <c r="R5" s="194" t="s">
        <v>147</v>
      </c>
      <c r="S5" s="194" t="s">
        <v>23</v>
      </c>
      <c r="T5" s="194" t="s">
        <v>24</v>
      </c>
      <c r="U5" s="194" t="s">
        <v>25</v>
      </c>
      <c r="V5" s="194" t="s">
        <v>148</v>
      </c>
      <c r="W5" s="499" t="s">
        <v>27</v>
      </c>
      <c r="X5" s="500" t="s">
        <v>28</v>
      </c>
      <c r="Y5" s="197" t="s">
        <v>29</v>
      </c>
      <c r="Z5" s="198" t="s">
        <v>30</v>
      </c>
      <c r="AA5" s="501" t="s">
        <v>149</v>
      </c>
    </row>
    <row r="6" spans="1:27">
      <c r="C6" s="62"/>
      <c r="D6" s="62"/>
      <c r="E6" s="62"/>
      <c r="F6" s="62"/>
      <c r="G6" s="62"/>
      <c r="H6" s="63"/>
      <c r="I6" s="62"/>
      <c r="J6" s="62"/>
      <c r="K6" s="62"/>
      <c r="L6" s="56"/>
      <c r="M6" s="56"/>
      <c r="N6" s="56"/>
      <c r="O6" s="332"/>
      <c r="P6" s="56"/>
      <c r="Q6" s="205"/>
      <c r="R6" s="205"/>
      <c r="S6" s="205"/>
      <c r="T6" s="205"/>
      <c r="U6" s="205"/>
      <c r="V6" s="205"/>
      <c r="W6" s="62"/>
      <c r="X6" s="205"/>
      <c r="Y6" s="206"/>
      <c r="Z6" s="60"/>
      <c r="AA6" s="209"/>
    </row>
    <row r="7" spans="1:27">
      <c r="A7" s="291">
        <f>'CREATION CARE'!A20+1</f>
        <v>175</v>
      </c>
      <c r="B7" s="504" t="s">
        <v>431</v>
      </c>
      <c r="C7" s="62"/>
      <c r="D7" s="62"/>
      <c r="E7" s="62"/>
      <c r="F7" s="62"/>
      <c r="G7" s="62"/>
      <c r="H7" s="63"/>
      <c r="I7" s="62"/>
      <c r="J7" s="62"/>
      <c r="K7" s="62"/>
      <c r="L7" s="56"/>
      <c r="M7" s="56"/>
      <c r="N7" s="56"/>
      <c r="O7" s="332"/>
      <c r="P7" s="56"/>
      <c r="Q7" s="205"/>
      <c r="R7" s="205"/>
      <c r="S7" s="205"/>
      <c r="T7" s="205"/>
      <c r="U7" s="205"/>
      <c r="V7" s="205"/>
      <c r="W7" s="62"/>
      <c r="X7" s="205"/>
      <c r="Y7" s="206"/>
      <c r="Z7" s="60"/>
      <c r="AA7" s="209"/>
    </row>
    <row r="8" spans="1:27" s="298" customFormat="1" ht="24.75" customHeight="1">
      <c r="A8" s="236">
        <f>A7+1</f>
        <v>176</v>
      </c>
      <c r="B8" s="298" t="s">
        <v>432</v>
      </c>
      <c r="C8" s="62">
        <v>153319</v>
      </c>
      <c r="D8" s="62">
        <v>390000</v>
      </c>
      <c r="E8" s="70">
        <v>98438</v>
      </c>
      <c r="F8" s="62">
        <v>130000</v>
      </c>
      <c r="G8" s="62">
        <v>109000</v>
      </c>
      <c r="H8" s="505" t="s">
        <v>433</v>
      </c>
      <c r="I8" s="62"/>
      <c r="J8" s="62">
        <v>130000</v>
      </c>
      <c r="K8" s="62">
        <f>J8</f>
        <v>130000</v>
      </c>
      <c r="L8" s="56"/>
      <c r="M8" s="56">
        <v>130000</v>
      </c>
      <c r="N8" s="56">
        <f t="shared" ref="N8:N57" si="0">L8+M8</f>
        <v>130000</v>
      </c>
      <c r="O8" s="77" t="s">
        <v>434</v>
      </c>
      <c r="P8" s="56">
        <f t="shared" ref="P8:P38" si="1">N8</f>
        <v>130000</v>
      </c>
      <c r="Q8" s="294">
        <v>130000</v>
      </c>
      <c r="R8" s="294">
        <v>0</v>
      </c>
      <c r="S8" s="294">
        <v>130000</v>
      </c>
      <c r="T8" s="66">
        <f>R8+S8</f>
        <v>130000</v>
      </c>
      <c r="U8" s="66">
        <f t="shared" ref="U8:U19" si="2">Q8+T8</f>
        <v>260000</v>
      </c>
      <c r="V8" s="66">
        <f t="shared" ref="V8:V24" si="3">U8+P8</f>
        <v>390000</v>
      </c>
      <c r="W8" s="62">
        <f t="shared" ref="W8:W15" si="4">E8+G8+K8</f>
        <v>337438</v>
      </c>
      <c r="X8" s="66"/>
      <c r="Y8" s="206" t="s">
        <v>434</v>
      </c>
      <c r="Z8" s="60">
        <v>260000</v>
      </c>
      <c r="AA8" s="68">
        <v>390000</v>
      </c>
    </row>
    <row r="9" spans="1:27" s="298" customFormat="1" ht="14.55" customHeight="1">
      <c r="A9" s="236">
        <f t="shared" ref="A9:A58" si="5">A8+1</f>
        <v>177</v>
      </c>
      <c r="B9" s="298" t="s">
        <v>435</v>
      </c>
      <c r="C9" s="62">
        <f>883730-717000+717000</f>
        <v>883730</v>
      </c>
      <c r="D9" s="62">
        <v>500000</v>
      </c>
      <c r="E9" s="70">
        <v>108366</v>
      </c>
      <c r="F9" s="62">
        <v>125000</v>
      </c>
      <c r="G9" s="62">
        <v>100000</v>
      </c>
      <c r="H9" s="63"/>
      <c r="I9" s="62"/>
      <c r="J9" s="62">
        <v>125000</v>
      </c>
      <c r="K9" s="62">
        <f t="shared" ref="K9:K17" si="6">J9</f>
        <v>125000</v>
      </c>
      <c r="L9" s="56"/>
      <c r="M9" s="56">
        <v>125000</v>
      </c>
      <c r="N9" s="56">
        <f t="shared" si="0"/>
        <v>125000</v>
      </c>
      <c r="O9" s="332"/>
      <c r="P9" s="56">
        <f t="shared" si="1"/>
        <v>125000</v>
      </c>
      <c r="Q9" s="294">
        <v>125000</v>
      </c>
      <c r="R9" s="294">
        <v>0</v>
      </c>
      <c r="S9" s="294">
        <v>125000</v>
      </c>
      <c r="T9" s="66">
        <f t="shared" ref="T9:T37" si="7">R9+S9</f>
        <v>125000</v>
      </c>
      <c r="U9" s="66">
        <f t="shared" si="2"/>
        <v>250000</v>
      </c>
      <c r="V9" s="66">
        <f t="shared" si="3"/>
        <v>375000</v>
      </c>
      <c r="W9" s="62">
        <f t="shared" si="4"/>
        <v>333366</v>
      </c>
      <c r="X9" s="66"/>
      <c r="Y9" s="206"/>
      <c r="Z9" s="60">
        <v>250000</v>
      </c>
      <c r="AA9" s="68">
        <v>375000</v>
      </c>
    </row>
    <row r="10" spans="1:27">
      <c r="A10" s="236">
        <f t="shared" si="5"/>
        <v>178</v>
      </c>
      <c r="B10" s="502" t="s">
        <v>436</v>
      </c>
      <c r="C10" s="62">
        <v>0</v>
      </c>
      <c r="D10" s="62"/>
      <c r="E10" s="70">
        <v>660</v>
      </c>
      <c r="F10" s="62"/>
      <c r="G10" s="62"/>
      <c r="H10" s="63"/>
      <c r="I10" s="62"/>
      <c r="J10" s="62"/>
      <c r="K10" s="62">
        <f t="shared" si="6"/>
        <v>0</v>
      </c>
      <c r="L10" s="56"/>
      <c r="M10" s="56"/>
      <c r="N10" s="56">
        <f t="shared" si="0"/>
        <v>0</v>
      </c>
      <c r="O10" s="332"/>
      <c r="P10" s="56">
        <f t="shared" si="1"/>
        <v>0</v>
      </c>
      <c r="Q10" s="294"/>
      <c r="R10" s="294"/>
      <c r="S10" s="294"/>
      <c r="T10" s="66">
        <f t="shared" si="7"/>
        <v>0</v>
      </c>
      <c r="U10" s="66">
        <f t="shared" si="2"/>
        <v>0</v>
      </c>
      <c r="V10" s="66">
        <f t="shared" si="3"/>
        <v>0</v>
      </c>
      <c r="W10" s="62">
        <f t="shared" si="4"/>
        <v>660</v>
      </c>
      <c r="X10" s="66"/>
      <c r="Y10" s="206"/>
      <c r="Z10" s="60">
        <v>0</v>
      </c>
      <c r="AA10" s="68"/>
    </row>
    <row r="11" spans="1:27" ht="20.65" customHeight="1">
      <c r="A11" s="236">
        <f t="shared" si="5"/>
        <v>179</v>
      </c>
      <c r="B11" s="502" t="s">
        <v>437</v>
      </c>
      <c r="C11" s="62">
        <v>162000</v>
      </c>
      <c r="D11" s="62">
        <v>190000</v>
      </c>
      <c r="E11" s="70">
        <v>5000</v>
      </c>
      <c r="F11" s="62">
        <v>66000</v>
      </c>
      <c r="G11" s="62">
        <f>F11</f>
        <v>66000</v>
      </c>
      <c r="H11" s="63"/>
      <c r="I11" s="62"/>
      <c r="J11" s="62">
        <v>67000</v>
      </c>
      <c r="K11" s="62">
        <f t="shared" si="6"/>
        <v>67000</v>
      </c>
      <c r="L11" s="56"/>
      <c r="M11" s="56">
        <v>66000</v>
      </c>
      <c r="N11" s="56">
        <f t="shared" si="0"/>
        <v>66000</v>
      </c>
      <c r="O11" s="332" t="s">
        <v>438</v>
      </c>
      <c r="P11" s="56">
        <f t="shared" si="1"/>
        <v>66000</v>
      </c>
      <c r="Q11" s="294">
        <v>70000</v>
      </c>
      <c r="R11" s="294">
        <v>0</v>
      </c>
      <c r="S11" s="294">
        <v>70000</v>
      </c>
      <c r="T11" s="66">
        <f t="shared" si="7"/>
        <v>70000</v>
      </c>
      <c r="U11" s="66">
        <f t="shared" si="2"/>
        <v>140000</v>
      </c>
      <c r="V11" s="66">
        <f t="shared" si="3"/>
        <v>206000</v>
      </c>
      <c r="W11" s="62">
        <f t="shared" si="4"/>
        <v>138000</v>
      </c>
      <c r="X11" s="66"/>
      <c r="Y11" s="206" t="s">
        <v>439</v>
      </c>
      <c r="Z11" s="60">
        <v>140000</v>
      </c>
      <c r="AA11" s="68">
        <v>30000</v>
      </c>
    </row>
    <row r="12" spans="1:27" ht="16.5" customHeight="1">
      <c r="A12" s="236">
        <f t="shared" si="5"/>
        <v>180</v>
      </c>
      <c r="B12" s="502" t="s">
        <v>440</v>
      </c>
      <c r="C12" s="62">
        <v>0</v>
      </c>
      <c r="D12" s="62">
        <v>800000</v>
      </c>
      <c r="E12" s="70">
        <v>266667</v>
      </c>
      <c r="F12" s="62">
        <v>266667</v>
      </c>
      <c r="G12" s="62">
        <f>F12</f>
        <v>266667</v>
      </c>
      <c r="H12" s="63"/>
      <c r="I12" s="62"/>
      <c r="J12" s="62">
        <v>266667</v>
      </c>
      <c r="K12" s="62">
        <f t="shared" si="6"/>
        <v>266667</v>
      </c>
      <c r="L12" s="56"/>
      <c r="M12" s="56">
        <v>266667</v>
      </c>
      <c r="N12" s="56">
        <f t="shared" si="0"/>
        <v>266667</v>
      </c>
      <c r="O12" s="332"/>
      <c r="P12" s="56">
        <f t="shared" si="1"/>
        <v>266667</v>
      </c>
      <c r="Q12" s="294">
        <v>266667</v>
      </c>
      <c r="R12" s="294">
        <v>0</v>
      </c>
      <c r="S12" s="294">
        <v>266667</v>
      </c>
      <c r="T12" s="66">
        <f t="shared" si="7"/>
        <v>266667</v>
      </c>
      <c r="U12" s="66">
        <f t="shared" si="2"/>
        <v>533334</v>
      </c>
      <c r="V12" s="66">
        <f t="shared" si="3"/>
        <v>800001</v>
      </c>
      <c r="W12" s="62">
        <f t="shared" si="4"/>
        <v>800001</v>
      </c>
      <c r="X12" s="66"/>
      <c r="Y12" s="206"/>
      <c r="Z12" s="60">
        <v>533334</v>
      </c>
      <c r="AA12" s="68">
        <v>800000</v>
      </c>
    </row>
    <row r="13" spans="1:27">
      <c r="A13" s="236">
        <f t="shared" si="5"/>
        <v>181</v>
      </c>
      <c r="B13" s="502" t="s">
        <v>441</v>
      </c>
      <c r="C13" s="62">
        <v>26972</v>
      </c>
      <c r="D13" s="62">
        <v>45000</v>
      </c>
      <c r="E13" s="70">
        <v>18127</v>
      </c>
      <c r="F13" s="62">
        <v>14000</v>
      </c>
      <c r="G13" s="62">
        <v>8000</v>
      </c>
      <c r="H13" s="63"/>
      <c r="I13" s="62">
        <v>5000</v>
      </c>
      <c r="J13" s="62">
        <v>20000</v>
      </c>
      <c r="K13" s="62">
        <f t="shared" si="6"/>
        <v>20000</v>
      </c>
      <c r="L13" s="56">
        <v>5000</v>
      </c>
      <c r="M13" s="56">
        <v>20000</v>
      </c>
      <c r="N13" s="56">
        <f t="shared" si="0"/>
        <v>25000</v>
      </c>
      <c r="O13" s="332"/>
      <c r="P13" s="56">
        <f t="shared" si="1"/>
        <v>25000</v>
      </c>
      <c r="Q13" s="294">
        <v>25000</v>
      </c>
      <c r="R13" s="294">
        <v>15000</v>
      </c>
      <c r="S13" s="294">
        <v>15000</v>
      </c>
      <c r="T13" s="66">
        <f t="shared" si="7"/>
        <v>30000</v>
      </c>
      <c r="U13" s="66">
        <f t="shared" si="2"/>
        <v>55000</v>
      </c>
      <c r="V13" s="66">
        <f t="shared" si="3"/>
        <v>80000</v>
      </c>
      <c r="W13" s="62">
        <f t="shared" si="4"/>
        <v>46127</v>
      </c>
      <c r="X13" s="66"/>
      <c r="Y13" s="206"/>
      <c r="Z13" s="60">
        <v>55000</v>
      </c>
      <c r="AA13" s="68">
        <v>45000</v>
      </c>
    </row>
    <row r="14" spans="1:27">
      <c r="A14" s="236">
        <f t="shared" si="5"/>
        <v>182</v>
      </c>
      <c r="B14" s="502" t="s">
        <v>442</v>
      </c>
      <c r="C14" s="62">
        <v>11400</v>
      </c>
      <c r="D14" s="62">
        <v>54000</v>
      </c>
      <c r="E14" s="70">
        <v>35608</v>
      </c>
      <c r="F14" s="62">
        <v>18000</v>
      </c>
      <c r="G14" s="62">
        <v>12000</v>
      </c>
      <c r="H14" s="63"/>
      <c r="I14" s="62"/>
      <c r="J14" s="62">
        <v>18000</v>
      </c>
      <c r="K14" s="62">
        <f t="shared" si="6"/>
        <v>18000</v>
      </c>
      <c r="L14" s="56"/>
      <c r="M14" s="56">
        <v>18000</v>
      </c>
      <c r="N14" s="56">
        <f t="shared" si="0"/>
        <v>18000</v>
      </c>
      <c r="O14" s="332"/>
      <c r="P14" s="56">
        <f t="shared" si="1"/>
        <v>18000</v>
      </c>
      <c r="Q14" s="294">
        <v>18000</v>
      </c>
      <c r="R14" s="294">
        <v>0</v>
      </c>
      <c r="S14" s="294">
        <v>18000</v>
      </c>
      <c r="T14" s="66">
        <f t="shared" si="7"/>
        <v>18000</v>
      </c>
      <c r="U14" s="66">
        <f t="shared" si="2"/>
        <v>36000</v>
      </c>
      <c r="V14" s="66">
        <f t="shared" si="3"/>
        <v>54000</v>
      </c>
      <c r="W14" s="62">
        <f t="shared" si="4"/>
        <v>65608</v>
      </c>
      <c r="X14" s="66"/>
      <c r="Y14" s="206"/>
      <c r="Z14" s="60">
        <v>36000</v>
      </c>
      <c r="AA14" s="68">
        <v>54000</v>
      </c>
    </row>
    <row r="15" spans="1:27" ht="24" customHeight="1">
      <c r="A15" s="236">
        <f t="shared" si="5"/>
        <v>183</v>
      </c>
      <c r="B15" s="502" t="s">
        <v>443</v>
      </c>
      <c r="C15" s="62">
        <v>380000</v>
      </c>
      <c r="D15" s="62">
        <v>710000</v>
      </c>
      <c r="E15" s="70">
        <v>445808</v>
      </c>
      <c r="F15" s="62">
        <v>270000</v>
      </c>
      <c r="G15" s="62">
        <f>F15</f>
        <v>270000</v>
      </c>
      <c r="H15" s="506" t="s">
        <v>444</v>
      </c>
      <c r="I15" s="62">
        <v>20000</v>
      </c>
      <c r="J15" s="62">
        <v>340000</v>
      </c>
      <c r="K15" s="62">
        <f t="shared" si="6"/>
        <v>340000</v>
      </c>
      <c r="L15" s="56">
        <v>20000</v>
      </c>
      <c r="M15" s="56">
        <v>400000</v>
      </c>
      <c r="N15" s="56">
        <f t="shared" si="0"/>
        <v>420000</v>
      </c>
      <c r="O15" s="332" t="s">
        <v>445</v>
      </c>
      <c r="P15" s="56">
        <f t="shared" si="1"/>
        <v>420000</v>
      </c>
      <c r="Q15" s="507">
        <v>410000</v>
      </c>
      <c r="R15" s="294">
        <v>30000</v>
      </c>
      <c r="S15" s="507">
        <v>410000</v>
      </c>
      <c r="T15" s="66">
        <f t="shared" si="7"/>
        <v>440000</v>
      </c>
      <c r="U15" s="66">
        <f t="shared" si="2"/>
        <v>850000</v>
      </c>
      <c r="V15" s="66">
        <f t="shared" si="3"/>
        <v>1270000</v>
      </c>
      <c r="W15" s="62">
        <f t="shared" si="4"/>
        <v>1055808</v>
      </c>
      <c r="X15" s="66"/>
      <c r="Y15" s="206"/>
      <c r="Z15" s="60">
        <v>900000</v>
      </c>
      <c r="AA15" s="68">
        <v>710000</v>
      </c>
    </row>
    <row r="16" spans="1:27">
      <c r="A16" s="236">
        <f t="shared" si="5"/>
        <v>184</v>
      </c>
      <c r="B16" s="502" t="s">
        <v>446</v>
      </c>
      <c r="C16" s="62">
        <v>0</v>
      </c>
      <c r="D16" s="62">
        <v>200000</v>
      </c>
      <c r="E16" s="508"/>
      <c r="F16" s="62">
        <v>0</v>
      </c>
      <c r="G16" s="62">
        <f>F16</f>
        <v>0</v>
      </c>
      <c r="H16" s="63"/>
      <c r="I16" s="62"/>
      <c r="J16" s="62">
        <v>20000</v>
      </c>
      <c r="K16" s="62">
        <f t="shared" si="6"/>
        <v>20000</v>
      </c>
      <c r="L16" s="56"/>
      <c r="M16" s="56">
        <v>0</v>
      </c>
      <c r="N16" s="56">
        <f t="shared" si="0"/>
        <v>0</v>
      </c>
      <c r="O16" s="332"/>
      <c r="P16" s="56">
        <f t="shared" si="1"/>
        <v>0</v>
      </c>
      <c r="Q16" s="294">
        <v>0</v>
      </c>
      <c r="R16" s="294">
        <v>0</v>
      </c>
      <c r="S16" s="294">
        <v>0</v>
      </c>
      <c r="T16" s="66">
        <f t="shared" si="7"/>
        <v>0</v>
      </c>
      <c r="U16" s="66">
        <f t="shared" si="2"/>
        <v>0</v>
      </c>
      <c r="V16" s="66">
        <f t="shared" si="3"/>
        <v>0</v>
      </c>
      <c r="W16" s="62"/>
      <c r="X16" s="66"/>
      <c r="Y16" s="206"/>
      <c r="Z16" s="60">
        <v>0</v>
      </c>
      <c r="AA16" s="68">
        <v>200000</v>
      </c>
    </row>
    <row r="17" spans="1:27" ht="28.9" customHeight="1">
      <c r="A17" s="236">
        <f t="shared" si="5"/>
        <v>185</v>
      </c>
      <c r="B17" s="502" t="s">
        <v>447</v>
      </c>
      <c r="C17" s="62">
        <v>143441</v>
      </c>
      <c r="D17" s="62">
        <v>200000</v>
      </c>
      <c r="E17" s="70">
        <f>206211+244</f>
        <v>206455</v>
      </c>
      <c r="F17" s="62"/>
      <c r="G17" s="62"/>
      <c r="H17" s="63"/>
      <c r="I17" s="62"/>
      <c r="J17" s="62"/>
      <c r="K17" s="62">
        <f t="shared" si="6"/>
        <v>0</v>
      </c>
      <c r="L17" s="56"/>
      <c r="M17" s="56">
        <v>60000</v>
      </c>
      <c r="N17" s="56">
        <f t="shared" si="0"/>
        <v>60000</v>
      </c>
      <c r="O17" s="332" t="s">
        <v>448</v>
      </c>
      <c r="P17" s="56">
        <f t="shared" si="1"/>
        <v>60000</v>
      </c>
      <c r="Q17" s="294">
        <v>60000</v>
      </c>
      <c r="R17" s="294">
        <v>20000</v>
      </c>
      <c r="S17" s="294">
        <v>50000</v>
      </c>
      <c r="T17" s="66">
        <f t="shared" si="7"/>
        <v>70000</v>
      </c>
      <c r="U17" s="66">
        <f t="shared" si="2"/>
        <v>130000</v>
      </c>
      <c r="V17" s="66">
        <f t="shared" si="3"/>
        <v>190000</v>
      </c>
      <c r="W17" s="62">
        <f t="shared" ref="W17:W37" si="8">E17+G17+K17</f>
        <v>206455</v>
      </c>
      <c r="X17" s="66"/>
      <c r="Y17" s="206"/>
      <c r="Z17" s="60">
        <v>130000</v>
      </c>
      <c r="AA17" s="68">
        <v>0</v>
      </c>
    </row>
    <row r="18" spans="1:27">
      <c r="A18" s="236" t="s">
        <v>449</v>
      </c>
      <c r="B18" s="502" t="s">
        <v>188</v>
      </c>
      <c r="C18" s="62"/>
      <c r="D18" s="62"/>
      <c r="E18" s="70"/>
      <c r="F18" s="62"/>
      <c r="G18" s="62"/>
      <c r="H18" s="63"/>
      <c r="I18" s="62"/>
      <c r="J18" s="62"/>
      <c r="K18" s="62">
        <f>I20</f>
        <v>25000</v>
      </c>
      <c r="L18" s="56"/>
      <c r="M18" s="56"/>
      <c r="N18" s="56">
        <f t="shared" si="0"/>
        <v>0</v>
      </c>
      <c r="O18" s="332"/>
      <c r="P18" s="56">
        <f t="shared" si="1"/>
        <v>0</v>
      </c>
      <c r="Q18" s="294"/>
      <c r="R18" s="294"/>
      <c r="S18" s="294"/>
      <c r="T18" s="66">
        <f t="shared" si="7"/>
        <v>0</v>
      </c>
      <c r="U18" s="66">
        <f t="shared" si="2"/>
        <v>0</v>
      </c>
      <c r="V18" s="66">
        <f t="shared" si="3"/>
        <v>0</v>
      </c>
      <c r="W18" s="62">
        <f t="shared" si="8"/>
        <v>25000</v>
      </c>
      <c r="X18" s="66"/>
      <c r="Y18" s="206"/>
      <c r="Z18" s="60">
        <v>0</v>
      </c>
      <c r="AA18" s="68"/>
    </row>
    <row r="19" spans="1:27" ht="22.5" customHeight="1">
      <c r="A19" s="236">
        <f>A17+1</f>
        <v>186</v>
      </c>
      <c r="B19" s="502" t="s">
        <v>190</v>
      </c>
      <c r="C19" s="62">
        <v>3217406</v>
      </c>
      <c r="D19" s="238">
        <v>5396895.6167239277</v>
      </c>
      <c r="E19" s="238">
        <v>1812996</v>
      </c>
      <c r="F19" s="238">
        <f>'[3]Salary Summary 19 for 2019-2021'!L33</f>
        <v>1816343.6214884073</v>
      </c>
      <c r="G19" s="238">
        <f>F19</f>
        <v>1816343.6214884073</v>
      </c>
      <c r="J19" s="238">
        <v>2012401</v>
      </c>
      <c r="K19" s="238">
        <f>J19</f>
        <v>2012401</v>
      </c>
      <c r="L19" s="239"/>
      <c r="M19" s="56">
        <f>'Salary Summary 21 for 2022-2024'!M34</f>
        <v>1991491.9793264668</v>
      </c>
      <c r="N19" s="56">
        <f t="shared" si="0"/>
        <v>1991491.9793264668</v>
      </c>
      <c r="O19" s="301" t="s">
        <v>450</v>
      </c>
      <c r="P19" s="56">
        <f t="shared" si="1"/>
        <v>1991491.9793264668</v>
      </c>
      <c r="Q19" s="66">
        <f>'Salary Summary 21 for 2022-2024'!Q34</f>
        <v>2056612.8805877354</v>
      </c>
      <c r="R19" s="294"/>
      <c r="S19" s="66">
        <f>'Salary Summary 21 for 2022-2024'!U34</f>
        <v>2121500.1604598854</v>
      </c>
      <c r="T19" s="66">
        <f t="shared" si="7"/>
        <v>2121500.1604598854</v>
      </c>
      <c r="U19" s="66">
        <f t="shared" si="2"/>
        <v>4178113.0410476206</v>
      </c>
      <c r="V19" s="66">
        <f t="shared" si="3"/>
        <v>6169605.0203740876</v>
      </c>
      <c r="W19" s="62">
        <f t="shared" si="8"/>
        <v>5641740.6214884073</v>
      </c>
      <c r="X19" s="66"/>
      <c r="Y19" s="206"/>
      <c r="Z19" s="60">
        <v>4384785.9458563598</v>
      </c>
      <c r="AA19" s="68">
        <v>5769860.5636545196</v>
      </c>
    </row>
    <row r="20" spans="1:27" s="517" customFormat="1">
      <c r="A20" s="313">
        <f>A19+1</f>
        <v>187</v>
      </c>
      <c r="B20" s="509" t="s">
        <v>451</v>
      </c>
      <c r="C20" s="510">
        <f>SUM(C8:C19)</f>
        <v>4978268</v>
      </c>
      <c r="D20" s="510">
        <f t="shared" ref="D20:N20" si="9">SUM(D8:D19)</f>
        <v>8485895.6167239286</v>
      </c>
      <c r="E20" s="510">
        <f t="shared" si="9"/>
        <v>2998125</v>
      </c>
      <c r="F20" s="510">
        <f t="shared" si="9"/>
        <v>2706010.6214884073</v>
      </c>
      <c r="G20" s="510">
        <f t="shared" si="9"/>
        <v>2648010.6214884073</v>
      </c>
      <c r="H20" s="510">
        <f t="shared" si="9"/>
        <v>0</v>
      </c>
      <c r="I20" s="510">
        <f t="shared" si="9"/>
        <v>25000</v>
      </c>
      <c r="J20" s="510">
        <f t="shared" si="9"/>
        <v>2999068</v>
      </c>
      <c r="K20" s="510">
        <f t="shared" si="9"/>
        <v>3024068</v>
      </c>
      <c r="L20" s="511">
        <f t="shared" si="9"/>
        <v>25000</v>
      </c>
      <c r="M20" s="511">
        <f t="shared" si="9"/>
        <v>3077158.979326467</v>
      </c>
      <c r="N20" s="511">
        <f t="shared" si="9"/>
        <v>3102158.979326467</v>
      </c>
      <c r="O20" s="512"/>
      <c r="P20" s="511">
        <f t="shared" si="1"/>
        <v>3102158.979326467</v>
      </c>
      <c r="Q20" s="513">
        <f>SUM(Q8:Q19)</f>
        <v>3161279.8805877352</v>
      </c>
      <c r="R20" s="513">
        <f t="shared" ref="R20:U20" si="10">SUM(R8:R19)</f>
        <v>65000</v>
      </c>
      <c r="S20" s="513">
        <f t="shared" si="10"/>
        <v>3206167.1604598854</v>
      </c>
      <c r="T20" s="513">
        <f t="shared" si="10"/>
        <v>3271167.1604598854</v>
      </c>
      <c r="U20" s="513">
        <f t="shared" si="10"/>
        <v>6432447.0410476206</v>
      </c>
      <c r="V20" s="513">
        <f t="shared" si="3"/>
        <v>9534606.0203740876</v>
      </c>
      <c r="W20" s="510">
        <f t="shared" si="8"/>
        <v>8670203.6214884073</v>
      </c>
      <c r="X20" s="513"/>
      <c r="Y20" s="514"/>
      <c r="Z20" s="515">
        <v>6689119.9458563598</v>
      </c>
      <c r="AA20" s="516">
        <v>8373860.5636545196</v>
      </c>
    </row>
    <row r="21" spans="1:27">
      <c r="A21" s="236">
        <f t="shared" si="5"/>
        <v>188</v>
      </c>
      <c r="C21" s="62"/>
      <c r="D21" s="238">
        <v>0</v>
      </c>
      <c r="L21" s="239"/>
      <c r="M21" s="239"/>
      <c r="N21" s="239">
        <f t="shared" si="0"/>
        <v>0</v>
      </c>
      <c r="O21" s="332"/>
      <c r="P21" s="239">
        <f t="shared" si="1"/>
        <v>0</v>
      </c>
      <c r="Q21" s="205"/>
      <c r="R21" s="205"/>
      <c r="S21" s="205"/>
      <c r="T21" s="66">
        <f t="shared" si="7"/>
        <v>0</v>
      </c>
      <c r="U21" s="66">
        <f>Q21+T21</f>
        <v>0</v>
      </c>
      <c r="V21" s="66">
        <f t="shared" si="3"/>
        <v>0</v>
      </c>
      <c r="W21" s="62">
        <f t="shared" si="8"/>
        <v>0</v>
      </c>
      <c r="X21" s="66"/>
      <c r="Y21" s="206"/>
      <c r="Z21" s="346">
        <v>0</v>
      </c>
      <c r="AA21" s="68"/>
    </row>
    <row r="22" spans="1:27" ht="27.75" customHeight="1">
      <c r="A22" s="236">
        <f>A21+1</f>
        <v>189</v>
      </c>
      <c r="B22" s="504" t="s">
        <v>452</v>
      </c>
      <c r="C22" s="62">
        <v>175000</v>
      </c>
      <c r="D22" s="62">
        <v>375000</v>
      </c>
      <c r="E22" s="62">
        <f>287842-E23-E24</f>
        <v>183392</v>
      </c>
      <c r="F22" s="62">
        <v>155000</v>
      </c>
      <c r="G22" s="62">
        <v>120000</v>
      </c>
      <c r="H22" s="63" t="s">
        <v>453</v>
      </c>
      <c r="I22" s="62"/>
      <c r="J22" s="62">
        <v>77000</v>
      </c>
      <c r="K22" s="62">
        <f>J22</f>
        <v>77000</v>
      </c>
      <c r="L22" s="56"/>
      <c r="M22" s="56">
        <v>105000</v>
      </c>
      <c r="N22" s="56">
        <f t="shared" si="0"/>
        <v>105000</v>
      </c>
      <c r="O22" s="332" t="s">
        <v>454</v>
      </c>
      <c r="P22" s="56">
        <f t="shared" si="1"/>
        <v>105000</v>
      </c>
      <c r="Q22" s="66">
        <v>180000</v>
      </c>
      <c r="R22" s="66">
        <v>30000</v>
      </c>
      <c r="S22" s="66">
        <v>105000</v>
      </c>
      <c r="T22" s="66">
        <f t="shared" si="7"/>
        <v>135000</v>
      </c>
      <c r="U22" s="66">
        <f>Q22+T22</f>
        <v>315000</v>
      </c>
      <c r="V22" s="66">
        <f t="shared" si="3"/>
        <v>420000</v>
      </c>
      <c r="W22" s="62">
        <f t="shared" si="8"/>
        <v>380392</v>
      </c>
      <c r="X22" s="66"/>
      <c r="Y22" s="206"/>
      <c r="Z22" s="60">
        <v>315000</v>
      </c>
      <c r="AA22" s="68">
        <v>375000</v>
      </c>
    </row>
    <row r="23" spans="1:27">
      <c r="A23" s="236">
        <f t="shared" si="5"/>
        <v>190</v>
      </c>
      <c r="B23" s="502" t="s">
        <v>455</v>
      </c>
      <c r="C23" s="62">
        <v>12000</v>
      </c>
      <c r="D23" s="62">
        <v>12000</v>
      </c>
      <c r="E23" s="62">
        <v>21117</v>
      </c>
      <c r="F23" s="62"/>
      <c r="G23" s="62"/>
      <c r="H23" s="63"/>
      <c r="I23" s="62"/>
      <c r="J23" s="62"/>
      <c r="K23" s="62"/>
      <c r="L23" s="56"/>
      <c r="M23" s="56">
        <v>20000</v>
      </c>
      <c r="N23" s="56">
        <f t="shared" si="0"/>
        <v>20000</v>
      </c>
      <c r="O23" s="332"/>
      <c r="P23" s="56">
        <f t="shared" si="1"/>
        <v>20000</v>
      </c>
      <c r="Q23" s="66">
        <v>20000</v>
      </c>
      <c r="R23" s="66">
        <v>0</v>
      </c>
      <c r="S23" s="66">
        <v>20000</v>
      </c>
      <c r="T23" s="66">
        <f t="shared" si="7"/>
        <v>20000</v>
      </c>
      <c r="U23" s="66">
        <f>Q23+T23</f>
        <v>40000</v>
      </c>
      <c r="V23" s="66">
        <f t="shared" si="3"/>
        <v>60000</v>
      </c>
      <c r="W23" s="62">
        <f t="shared" si="8"/>
        <v>21117</v>
      </c>
      <c r="X23" s="66"/>
      <c r="Y23" s="206"/>
      <c r="Z23" s="60">
        <v>40000</v>
      </c>
      <c r="AA23" s="68">
        <v>12000</v>
      </c>
    </row>
    <row r="24" spans="1:27" ht="18.399999999999999" customHeight="1">
      <c r="A24" s="236">
        <f t="shared" si="5"/>
        <v>191</v>
      </c>
      <c r="B24" s="502" t="s">
        <v>456</v>
      </c>
      <c r="C24" s="62">
        <f>180000+70000</f>
        <v>250000</v>
      </c>
      <c r="D24" s="62">
        <v>250000</v>
      </c>
      <c r="E24" s="62">
        <v>83333</v>
      </c>
      <c r="F24" s="62">
        <v>83333</v>
      </c>
      <c r="G24" s="62">
        <v>83333</v>
      </c>
      <c r="H24" s="63"/>
      <c r="I24" s="62"/>
      <c r="J24" s="62">
        <v>83334</v>
      </c>
      <c r="K24" s="62">
        <f>J24</f>
        <v>83334</v>
      </c>
      <c r="L24" s="56"/>
      <c r="M24" s="56">
        <v>83334</v>
      </c>
      <c r="N24" s="56">
        <f t="shared" si="0"/>
        <v>83334</v>
      </c>
      <c r="O24" s="332"/>
      <c r="P24" s="56">
        <f t="shared" si="1"/>
        <v>83334</v>
      </c>
      <c r="Q24" s="66">
        <v>83334</v>
      </c>
      <c r="R24" s="66">
        <v>0</v>
      </c>
      <c r="S24" s="66">
        <v>83334</v>
      </c>
      <c r="T24" s="66">
        <f t="shared" si="7"/>
        <v>83334</v>
      </c>
      <c r="U24" s="66">
        <f>Q24+T24</f>
        <v>166668</v>
      </c>
      <c r="V24" s="66">
        <f t="shared" si="3"/>
        <v>250002</v>
      </c>
      <c r="W24" s="62">
        <f t="shared" si="8"/>
        <v>250000</v>
      </c>
      <c r="X24" s="66"/>
      <c r="Y24" s="206"/>
      <c r="Z24" s="60">
        <v>166668</v>
      </c>
      <c r="AA24" s="68">
        <v>250000</v>
      </c>
    </row>
    <row r="25" spans="1:27" s="517" customFormat="1">
      <c r="A25" s="313">
        <f t="shared" si="5"/>
        <v>192</v>
      </c>
      <c r="B25" s="509" t="s">
        <v>457</v>
      </c>
      <c r="C25" s="92">
        <f>SUM(C22:C24)</f>
        <v>437000</v>
      </c>
      <c r="D25" s="92">
        <f>SUM(D21:D24)</f>
        <v>637000</v>
      </c>
      <c r="E25" s="92">
        <f t="shared" ref="E25:H25" si="11">SUM(E21:E24)</f>
        <v>287842</v>
      </c>
      <c r="F25" s="92">
        <f t="shared" si="11"/>
        <v>238333</v>
      </c>
      <c r="G25" s="92">
        <f t="shared" si="11"/>
        <v>203333</v>
      </c>
      <c r="H25" s="92">
        <f t="shared" si="11"/>
        <v>0</v>
      </c>
      <c r="I25" s="92">
        <f t="shared" ref="I25:N25" si="12">SUM(I22:I24)</f>
        <v>0</v>
      </c>
      <c r="J25" s="92">
        <f t="shared" si="12"/>
        <v>160334</v>
      </c>
      <c r="K25" s="92">
        <f t="shared" si="12"/>
        <v>160334</v>
      </c>
      <c r="L25" s="93">
        <f t="shared" si="12"/>
        <v>0</v>
      </c>
      <c r="M25" s="93">
        <f t="shared" si="12"/>
        <v>208334</v>
      </c>
      <c r="N25" s="93">
        <f t="shared" si="12"/>
        <v>208334</v>
      </c>
      <c r="O25" s="518"/>
      <c r="P25" s="93">
        <f t="shared" si="1"/>
        <v>208334</v>
      </c>
      <c r="Q25" s="513">
        <f>SUM(Q22:Q24)</f>
        <v>283334</v>
      </c>
      <c r="R25" s="513">
        <f t="shared" ref="R25:V25" si="13">SUM(R22:R24)</f>
        <v>30000</v>
      </c>
      <c r="S25" s="513">
        <f t="shared" si="13"/>
        <v>208334</v>
      </c>
      <c r="T25" s="513">
        <f t="shared" si="13"/>
        <v>238334</v>
      </c>
      <c r="U25" s="513">
        <f t="shared" si="13"/>
        <v>521668</v>
      </c>
      <c r="V25" s="513">
        <f t="shared" si="13"/>
        <v>730002</v>
      </c>
      <c r="W25" s="92">
        <f t="shared" si="8"/>
        <v>651509</v>
      </c>
      <c r="X25" s="513"/>
      <c r="Y25" s="514"/>
      <c r="Z25" s="98">
        <v>206668</v>
      </c>
      <c r="AA25" s="516">
        <v>637000</v>
      </c>
    </row>
    <row r="26" spans="1:27">
      <c r="A26" s="236">
        <f t="shared" si="5"/>
        <v>193</v>
      </c>
      <c r="C26" s="62"/>
      <c r="D26" s="62"/>
      <c r="E26" s="62"/>
      <c r="F26" s="62"/>
      <c r="G26" s="62"/>
      <c r="H26" s="63"/>
      <c r="I26" s="62"/>
      <c r="J26" s="62"/>
      <c r="K26" s="62"/>
      <c r="L26" s="56"/>
      <c r="M26" s="56"/>
      <c r="N26" s="56">
        <f t="shared" si="0"/>
        <v>0</v>
      </c>
      <c r="O26" s="332"/>
      <c r="P26" s="56">
        <f t="shared" si="1"/>
        <v>0</v>
      </c>
      <c r="Q26" s="205"/>
      <c r="R26" s="205"/>
      <c r="S26" s="205"/>
      <c r="T26" s="66">
        <f t="shared" si="7"/>
        <v>0</v>
      </c>
      <c r="U26" s="66">
        <f t="shared" ref="U26:U33" si="14">Q26+T26</f>
        <v>0</v>
      </c>
      <c r="V26" s="66"/>
      <c r="W26" s="62">
        <f t="shared" si="8"/>
        <v>0</v>
      </c>
      <c r="X26" s="66"/>
      <c r="Y26" s="206"/>
      <c r="Z26" s="60">
        <v>0</v>
      </c>
      <c r="AA26" s="68"/>
    </row>
    <row r="27" spans="1:27" s="421" customFormat="1">
      <c r="A27" s="236">
        <f t="shared" si="5"/>
        <v>194</v>
      </c>
      <c r="B27" s="310" t="s">
        <v>458</v>
      </c>
      <c r="C27" s="62"/>
      <c r="D27" s="62"/>
      <c r="E27" s="62"/>
      <c r="F27" s="62"/>
      <c r="G27" s="62"/>
      <c r="H27" s="63"/>
      <c r="I27" s="62"/>
      <c r="J27" s="62"/>
      <c r="K27" s="62"/>
      <c r="L27" s="56"/>
      <c r="M27" s="56"/>
      <c r="N27" s="56">
        <f t="shared" si="0"/>
        <v>0</v>
      </c>
      <c r="O27" s="332"/>
      <c r="P27" s="56">
        <f t="shared" si="1"/>
        <v>0</v>
      </c>
      <c r="Q27" s="205"/>
      <c r="R27" s="205"/>
      <c r="S27" s="205"/>
      <c r="T27" s="66">
        <f t="shared" si="7"/>
        <v>0</v>
      </c>
      <c r="U27" s="66">
        <f t="shared" si="14"/>
        <v>0</v>
      </c>
      <c r="V27" s="66">
        <f t="shared" ref="V27:V49" si="15">U27+P27</f>
        <v>0</v>
      </c>
      <c r="W27" s="62">
        <f t="shared" si="8"/>
        <v>0</v>
      </c>
      <c r="X27" s="66"/>
      <c r="Y27" s="206"/>
      <c r="Z27" s="60">
        <v>0</v>
      </c>
      <c r="AA27" s="68"/>
    </row>
    <row r="28" spans="1:27" s="421" customFormat="1" ht="63" customHeight="1">
      <c r="A28" s="236" t="s">
        <v>459</v>
      </c>
      <c r="B28" s="298" t="s">
        <v>460</v>
      </c>
      <c r="C28" s="238">
        <v>221960</v>
      </c>
      <c r="D28" s="238">
        <v>491000</v>
      </c>
      <c r="E28" s="70">
        <v>116680</v>
      </c>
      <c r="F28" s="70">
        <v>163667</v>
      </c>
      <c r="G28" s="70">
        <v>70000</v>
      </c>
      <c r="H28" s="71"/>
      <c r="I28" s="70"/>
      <c r="J28" s="70">
        <v>100000</v>
      </c>
      <c r="K28" s="70">
        <f>J28</f>
        <v>100000</v>
      </c>
      <c r="L28" s="413"/>
      <c r="M28" s="413">
        <v>100000</v>
      </c>
      <c r="N28" s="413">
        <f t="shared" si="0"/>
        <v>100000</v>
      </c>
      <c r="O28" s="312" t="s">
        <v>461</v>
      </c>
      <c r="P28" s="56">
        <f t="shared" si="1"/>
        <v>100000</v>
      </c>
      <c r="Q28" s="519">
        <v>185000</v>
      </c>
      <c r="R28" s="205"/>
      <c r="S28" s="520">
        <v>185000</v>
      </c>
      <c r="T28" s="66">
        <f t="shared" si="7"/>
        <v>185000</v>
      </c>
      <c r="U28" s="66">
        <f t="shared" si="14"/>
        <v>370000</v>
      </c>
      <c r="V28" s="66">
        <f t="shared" si="15"/>
        <v>470000</v>
      </c>
      <c r="W28" s="62">
        <f t="shared" si="8"/>
        <v>286680</v>
      </c>
      <c r="X28" s="66"/>
      <c r="Y28" s="137" t="s">
        <v>462</v>
      </c>
      <c r="Z28" s="414">
        <v>370000</v>
      </c>
      <c r="AA28" s="68"/>
    </row>
    <row r="29" spans="1:27" s="421" customFormat="1">
      <c r="A29" s="521" t="s">
        <v>463</v>
      </c>
      <c r="B29" s="522" t="s">
        <v>464</v>
      </c>
      <c r="C29" s="202"/>
      <c r="D29" s="202">
        <v>0</v>
      </c>
      <c r="E29" s="89">
        <v>0</v>
      </c>
      <c r="F29" s="89">
        <v>125000</v>
      </c>
      <c r="G29" s="89">
        <v>125000</v>
      </c>
      <c r="H29" s="256"/>
      <c r="I29" s="202">
        <v>0</v>
      </c>
      <c r="J29" s="202"/>
      <c r="K29" s="202">
        <f>J29</f>
        <v>0</v>
      </c>
      <c r="L29" s="204">
        <v>0</v>
      </c>
      <c r="M29" s="413">
        <v>125000</v>
      </c>
      <c r="N29" s="413">
        <f t="shared" si="0"/>
        <v>125000</v>
      </c>
      <c r="O29" s="312"/>
      <c r="P29" s="56">
        <f t="shared" si="1"/>
        <v>125000</v>
      </c>
      <c r="Q29" s="519">
        <v>20000</v>
      </c>
      <c r="R29" s="205"/>
      <c r="S29" s="520">
        <v>20000</v>
      </c>
      <c r="T29" s="66">
        <f t="shared" si="7"/>
        <v>20000</v>
      </c>
      <c r="U29" s="66">
        <f t="shared" si="14"/>
        <v>40000</v>
      </c>
      <c r="V29" s="66">
        <f t="shared" si="15"/>
        <v>165000</v>
      </c>
      <c r="W29" s="62">
        <f t="shared" si="8"/>
        <v>125000</v>
      </c>
      <c r="X29" s="66"/>
      <c r="Y29" s="206"/>
      <c r="Z29" s="414">
        <v>40000</v>
      </c>
      <c r="AA29" s="68">
        <v>491000</v>
      </c>
    </row>
    <row r="30" spans="1:27" s="421" customFormat="1">
      <c r="A30" s="236" t="s">
        <v>465</v>
      </c>
      <c r="B30" s="523" t="s">
        <v>466</v>
      </c>
      <c r="C30" s="238"/>
      <c r="D30" s="238"/>
      <c r="E30" s="70"/>
      <c r="F30" s="70"/>
      <c r="G30" s="70"/>
      <c r="H30" s="71"/>
      <c r="I30" s="70">
        <v>5000</v>
      </c>
      <c r="J30" s="70"/>
      <c r="K30" s="70"/>
      <c r="L30" s="413">
        <v>5000</v>
      </c>
      <c r="M30" s="413"/>
      <c r="N30" s="413">
        <f t="shared" si="0"/>
        <v>5000</v>
      </c>
      <c r="O30" s="312"/>
      <c r="P30" s="56">
        <f t="shared" si="1"/>
        <v>5000</v>
      </c>
      <c r="Q30" s="205"/>
      <c r="R30" s="205">
        <v>6000</v>
      </c>
      <c r="S30" s="66"/>
      <c r="T30" s="66">
        <f t="shared" si="7"/>
        <v>6000</v>
      </c>
      <c r="U30" s="66">
        <f t="shared" si="14"/>
        <v>6000</v>
      </c>
      <c r="V30" s="66">
        <f t="shared" si="15"/>
        <v>11000</v>
      </c>
      <c r="W30" s="62">
        <f t="shared" si="8"/>
        <v>0</v>
      </c>
      <c r="X30" s="66"/>
      <c r="Y30" s="206"/>
      <c r="Z30" s="414">
        <v>6000</v>
      </c>
      <c r="AA30" s="68">
        <v>125000</v>
      </c>
    </row>
    <row r="31" spans="1:27" s="421" customFormat="1">
      <c r="A31" s="236" t="s">
        <v>467</v>
      </c>
      <c r="B31" s="523" t="s">
        <v>188</v>
      </c>
      <c r="C31" s="238"/>
      <c r="D31" s="238"/>
      <c r="E31" s="70"/>
      <c r="F31" s="70"/>
      <c r="G31" s="70"/>
      <c r="H31" s="71"/>
      <c r="I31" s="70"/>
      <c r="J31" s="70"/>
      <c r="K31" s="70">
        <v>5000</v>
      </c>
      <c r="L31" s="413"/>
      <c r="M31" s="413"/>
      <c r="N31" s="413">
        <f t="shared" si="0"/>
        <v>0</v>
      </c>
      <c r="O31" s="312"/>
      <c r="P31" s="56">
        <f t="shared" si="1"/>
        <v>0</v>
      </c>
      <c r="Q31" s="205"/>
      <c r="R31" s="205"/>
      <c r="S31" s="66"/>
      <c r="T31" s="66">
        <f t="shared" si="7"/>
        <v>0</v>
      </c>
      <c r="U31" s="66">
        <f t="shared" si="14"/>
        <v>0</v>
      </c>
      <c r="V31" s="66">
        <f t="shared" si="15"/>
        <v>0</v>
      </c>
      <c r="W31" s="62">
        <f t="shared" si="8"/>
        <v>5000</v>
      </c>
      <c r="X31" s="66"/>
      <c r="Y31" s="206"/>
      <c r="Z31" s="414">
        <v>0</v>
      </c>
      <c r="AA31" s="68">
        <v>0</v>
      </c>
    </row>
    <row r="32" spans="1:27" s="421" customFormat="1">
      <c r="A32" s="236"/>
      <c r="B32" s="523"/>
      <c r="C32" s="238"/>
      <c r="D32" s="238"/>
      <c r="E32" s="70"/>
      <c r="F32" s="70"/>
      <c r="G32" s="70"/>
      <c r="H32" s="71"/>
      <c r="I32" s="70"/>
      <c r="J32" s="70"/>
      <c r="K32" s="70"/>
      <c r="L32" s="413"/>
      <c r="M32" s="413"/>
      <c r="N32" s="413">
        <f t="shared" si="0"/>
        <v>0</v>
      </c>
      <c r="O32" s="312"/>
      <c r="P32" s="56">
        <f t="shared" si="1"/>
        <v>0</v>
      </c>
      <c r="Q32" s="205"/>
      <c r="R32" s="205"/>
      <c r="S32" s="66"/>
      <c r="T32" s="66">
        <f t="shared" si="7"/>
        <v>0</v>
      </c>
      <c r="U32" s="66">
        <f t="shared" si="14"/>
        <v>0</v>
      </c>
      <c r="V32" s="66">
        <f t="shared" si="15"/>
        <v>0</v>
      </c>
      <c r="W32" s="62">
        <f t="shared" si="8"/>
        <v>0</v>
      </c>
      <c r="X32" s="66"/>
      <c r="Y32" s="206"/>
      <c r="Z32" s="414">
        <v>0</v>
      </c>
      <c r="AA32" s="68">
        <v>0</v>
      </c>
    </row>
    <row r="33" spans="1:27" s="421" customFormat="1" ht="16.45" customHeight="1">
      <c r="A33" s="236">
        <v>196</v>
      </c>
      <c r="B33" s="502" t="s">
        <v>190</v>
      </c>
      <c r="C33" s="62">
        <v>1288708</v>
      </c>
      <c r="D33" s="238">
        <v>923830.06098007876</v>
      </c>
      <c r="E33" s="238">
        <v>332372</v>
      </c>
      <c r="F33" s="238">
        <f>'[3]Salary Summary 19 for 2019-2021'!L32</f>
        <v>350078.41435521818</v>
      </c>
      <c r="G33" s="238">
        <f>F33</f>
        <v>350078.41435521818</v>
      </c>
      <c r="H33" s="300"/>
      <c r="I33" s="238"/>
      <c r="J33" s="238">
        <f>'[3]Salary Summary 20 for 2019-2021'!P32</f>
        <v>359664.14136975957</v>
      </c>
      <c r="K33" s="238">
        <f>J33</f>
        <v>359664.14136975957</v>
      </c>
      <c r="L33" s="239"/>
      <c r="M33" s="239">
        <f>'Salary Summary 21 for 2022-2024'!M33</f>
        <v>369787.53785245673</v>
      </c>
      <c r="N33" s="239">
        <f t="shared" si="0"/>
        <v>369787.53785245673</v>
      </c>
      <c r="O33" s="301"/>
      <c r="P33" s="239">
        <f t="shared" si="1"/>
        <v>369787.53785245673</v>
      </c>
      <c r="Q33" s="524">
        <f>'Salary Summary 21 for 2022-2024'!Q33</f>
        <v>382200.39629402646</v>
      </c>
      <c r="R33" s="524"/>
      <c r="S33" s="66">
        <f>'Salary Summary 21 for 2022-2024'!U33</f>
        <v>394431.92516756128</v>
      </c>
      <c r="T33" s="66">
        <f t="shared" si="7"/>
        <v>394431.92516756128</v>
      </c>
      <c r="U33" s="66">
        <f t="shared" si="14"/>
        <v>776632.32146158768</v>
      </c>
      <c r="V33" s="66">
        <f t="shared" si="15"/>
        <v>1146419.8593140445</v>
      </c>
      <c r="W33" s="238">
        <f t="shared" si="8"/>
        <v>1042114.5557249777</v>
      </c>
      <c r="X33" s="66"/>
      <c r="Y33" s="206"/>
      <c r="Z33" s="346">
        <v>776632.32146158768</v>
      </c>
      <c r="AA33" s="68">
        <v>1062888.3468972617</v>
      </c>
    </row>
    <row r="34" spans="1:27" s="529" customFormat="1" ht="22.5" customHeight="1">
      <c r="A34" s="313">
        <f t="shared" si="5"/>
        <v>197</v>
      </c>
      <c r="B34" s="525" t="s">
        <v>468</v>
      </c>
      <c r="C34" s="510">
        <f>SUM(C27:C33)</f>
        <v>1510668</v>
      </c>
      <c r="D34" s="510">
        <f t="shared" ref="D34:N34" si="16">SUM(D27:D33)</f>
        <v>1414830.0609800788</v>
      </c>
      <c r="E34" s="510">
        <f t="shared" si="16"/>
        <v>449052</v>
      </c>
      <c r="F34" s="510">
        <f t="shared" si="16"/>
        <v>638745.41435521818</v>
      </c>
      <c r="G34" s="510">
        <f t="shared" si="16"/>
        <v>545078.41435521818</v>
      </c>
      <c r="H34" s="510">
        <f t="shared" si="16"/>
        <v>0</v>
      </c>
      <c r="I34" s="510">
        <f t="shared" si="16"/>
        <v>5000</v>
      </c>
      <c r="J34" s="510">
        <f t="shared" si="16"/>
        <v>459664.14136975957</v>
      </c>
      <c r="K34" s="510">
        <f t="shared" si="16"/>
        <v>464664.14136975957</v>
      </c>
      <c r="L34" s="511">
        <f t="shared" si="16"/>
        <v>5000</v>
      </c>
      <c r="M34" s="511">
        <f t="shared" si="16"/>
        <v>594787.53785245679</v>
      </c>
      <c r="N34" s="511">
        <f t="shared" si="16"/>
        <v>599787.53785245679</v>
      </c>
      <c r="O34" s="512"/>
      <c r="P34" s="511">
        <f t="shared" si="1"/>
        <v>599787.53785245679</v>
      </c>
      <c r="Q34" s="526">
        <f>SUM(Q28:Q33)</f>
        <v>587200.3962940264</v>
      </c>
      <c r="R34" s="526">
        <f t="shared" ref="R34:U34" si="17">SUM(R28:R33)</f>
        <v>6000</v>
      </c>
      <c r="S34" s="526">
        <f t="shared" si="17"/>
        <v>599431.92516756128</v>
      </c>
      <c r="T34" s="526">
        <f t="shared" si="17"/>
        <v>605431.92516756128</v>
      </c>
      <c r="U34" s="526">
        <f t="shared" si="17"/>
        <v>1192632.3214615877</v>
      </c>
      <c r="V34" s="526">
        <f t="shared" si="15"/>
        <v>1792419.8593140445</v>
      </c>
      <c r="W34" s="510">
        <f t="shared" si="8"/>
        <v>1458794.5557249777</v>
      </c>
      <c r="X34" s="526"/>
      <c r="Y34" s="527"/>
      <c r="Z34" s="515">
        <v>1192632.3214615877</v>
      </c>
      <c r="AA34" s="528">
        <v>1678888.3468972617</v>
      </c>
    </row>
    <row r="35" spans="1:27" s="421" customFormat="1" ht="14.25">
      <c r="A35" s="236">
        <f t="shared" si="5"/>
        <v>198</v>
      </c>
      <c r="B35" s="298"/>
      <c r="C35" s="238"/>
      <c r="D35" s="238"/>
      <c r="E35" s="238"/>
      <c r="F35" s="238"/>
      <c r="G35" s="238"/>
      <c r="H35" s="300"/>
      <c r="I35" s="238"/>
      <c r="J35" s="238"/>
      <c r="K35" s="238"/>
      <c r="L35" s="239"/>
      <c r="M35" s="239"/>
      <c r="N35" s="239">
        <f t="shared" si="0"/>
        <v>0</v>
      </c>
      <c r="O35" s="312"/>
      <c r="P35" s="239">
        <f t="shared" si="1"/>
        <v>0</v>
      </c>
      <c r="Q35" s="240"/>
      <c r="R35" s="240"/>
      <c r="S35" s="240"/>
      <c r="T35" s="66">
        <f t="shared" si="7"/>
        <v>0</v>
      </c>
      <c r="U35" s="66">
        <f t="shared" ref="U35:U48" si="18">Q35+T35</f>
        <v>0</v>
      </c>
      <c r="V35" s="66">
        <f t="shared" si="15"/>
        <v>0</v>
      </c>
      <c r="W35" s="62">
        <f t="shared" si="8"/>
        <v>0</v>
      </c>
      <c r="X35" s="66"/>
      <c r="Y35" s="530"/>
      <c r="Z35" s="346">
        <v>0</v>
      </c>
      <c r="AA35" s="68"/>
    </row>
    <row r="36" spans="1:27" s="421" customFormat="1" ht="14.25">
      <c r="A36" s="236">
        <f t="shared" si="5"/>
        <v>199</v>
      </c>
      <c r="B36" s="298"/>
      <c r="C36" s="238"/>
      <c r="D36" s="238"/>
      <c r="E36" s="238"/>
      <c r="F36" s="238"/>
      <c r="G36" s="238"/>
      <c r="H36" s="300"/>
      <c r="I36" s="238"/>
      <c r="J36" s="238"/>
      <c r="K36" s="238"/>
      <c r="L36" s="239"/>
      <c r="M36" s="239"/>
      <c r="N36" s="239">
        <f t="shared" si="0"/>
        <v>0</v>
      </c>
      <c r="O36" s="312"/>
      <c r="P36" s="239">
        <f t="shared" si="1"/>
        <v>0</v>
      </c>
      <c r="Q36" s="240"/>
      <c r="R36" s="240"/>
      <c r="S36" s="240"/>
      <c r="T36" s="66">
        <f t="shared" si="7"/>
        <v>0</v>
      </c>
      <c r="U36" s="66">
        <f t="shared" si="18"/>
        <v>0</v>
      </c>
      <c r="V36" s="66">
        <f t="shared" si="15"/>
        <v>0</v>
      </c>
      <c r="W36" s="62">
        <f t="shared" si="8"/>
        <v>0</v>
      </c>
      <c r="X36" s="66"/>
      <c r="Y36" s="530"/>
      <c r="Z36" s="346">
        <v>0</v>
      </c>
      <c r="AA36" s="68"/>
    </row>
    <row r="37" spans="1:27" s="421" customFormat="1" ht="14.25">
      <c r="A37" s="236">
        <f t="shared" si="5"/>
        <v>200</v>
      </c>
      <c r="B37" s="531" t="s">
        <v>469</v>
      </c>
      <c r="C37" s="238"/>
      <c r="D37" s="238"/>
      <c r="E37" s="238"/>
      <c r="F37" s="238"/>
      <c r="G37" s="238"/>
      <c r="H37" s="300"/>
      <c r="I37" s="238"/>
      <c r="J37" s="238"/>
      <c r="K37" s="238"/>
      <c r="L37" s="239"/>
      <c r="M37" s="239"/>
      <c r="N37" s="239">
        <f t="shared" si="0"/>
        <v>0</v>
      </c>
      <c r="O37" s="312"/>
      <c r="P37" s="239">
        <f t="shared" si="1"/>
        <v>0</v>
      </c>
      <c r="Q37" s="240"/>
      <c r="R37" s="240"/>
      <c r="S37" s="240"/>
      <c r="T37" s="66">
        <f t="shared" si="7"/>
        <v>0</v>
      </c>
      <c r="U37" s="66">
        <f t="shared" si="18"/>
        <v>0</v>
      </c>
      <c r="V37" s="66">
        <f t="shared" si="15"/>
        <v>0</v>
      </c>
      <c r="W37" s="62">
        <f t="shared" si="8"/>
        <v>0</v>
      </c>
      <c r="X37" s="66"/>
      <c r="Y37" s="530"/>
      <c r="Z37" s="346">
        <v>0</v>
      </c>
      <c r="AA37" s="68"/>
    </row>
    <row r="38" spans="1:27" s="421" customFormat="1">
      <c r="A38" s="236">
        <f t="shared" si="5"/>
        <v>201</v>
      </c>
      <c r="B38" s="276" t="s">
        <v>470</v>
      </c>
      <c r="C38" s="238">
        <v>597000</v>
      </c>
      <c r="D38" s="238">
        <v>0</v>
      </c>
      <c r="E38" s="238">
        <v>251834</v>
      </c>
      <c r="F38" s="238"/>
      <c r="G38" s="238"/>
      <c r="H38" s="300"/>
      <c r="I38" s="238"/>
      <c r="J38" s="238"/>
      <c r="K38" s="238"/>
      <c r="L38" s="239"/>
      <c r="M38" s="239"/>
      <c r="N38" s="239">
        <f t="shared" si="0"/>
        <v>0</v>
      </c>
      <c r="O38" s="312"/>
      <c r="P38" s="239">
        <f t="shared" si="1"/>
        <v>0</v>
      </c>
      <c r="Q38" s="532"/>
      <c r="R38" s="532"/>
      <c r="S38" s="532"/>
      <c r="T38" s="532"/>
      <c r="U38" s="66">
        <f t="shared" si="18"/>
        <v>0</v>
      </c>
      <c r="V38" s="66">
        <f t="shared" si="15"/>
        <v>0</v>
      </c>
      <c r="W38" s="238"/>
      <c r="X38" s="66"/>
      <c r="Y38" s="533"/>
      <c r="Z38" s="346">
        <v>0</v>
      </c>
      <c r="AA38" s="68"/>
    </row>
    <row r="39" spans="1:27" s="421" customFormat="1" ht="31.5">
      <c r="A39" s="236">
        <f t="shared" si="5"/>
        <v>202</v>
      </c>
      <c r="B39" s="276" t="s">
        <v>471</v>
      </c>
      <c r="C39" s="238"/>
      <c r="D39" s="238">
        <v>233000</v>
      </c>
      <c r="E39" s="418">
        <v>0</v>
      </c>
      <c r="F39" s="238">
        <v>73500</v>
      </c>
      <c r="G39" s="238">
        <v>30000</v>
      </c>
      <c r="H39" s="300" t="s">
        <v>472</v>
      </c>
      <c r="I39" s="238"/>
      <c r="J39" s="238">
        <v>73500</v>
      </c>
      <c r="K39" s="238">
        <f>J39</f>
        <v>73500</v>
      </c>
      <c r="L39" s="239"/>
      <c r="M39" s="239">
        <v>73500</v>
      </c>
      <c r="N39" s="239">
        <f t="shared" si="0"/>
        <v>73500</v>
      </c>
      <c r="O39" s="312"/>
      <c r="P39" s="534">
        <v>67500</v>
      </c>
      <c r="Q39" s="233">
        <v>65000</v>
      </c>
      <c r="R39" s="205">
        <v>2000</v>
      </c>
      <c r="S39" s="233">
        <v>65000</v>
      </c>
      <c r="T39" s="66">
        <f t="shared" ref="T39:T47" si="19">R39+S39</f>
        <v>67000</v>
      </c>
      <c r="U39" s="66">
        <f t="shared" si="18"/>
        <v>132000</v>
      </c>
      <c r="V39" s="66">
        <f t="shared" si="15"/>
        <v>199500</v>
      </c>
      <c r="W39" s="238"/>
      <c r="X39" s="66"/>
      <c r="Y39" s="234" t="s">
        <v>473</v>
      </c>
      <c r="Z39" s="346">
        <v>132000</v>
      </c>
      <c r="AA39" s="68">
        <v>220500</v>
      </c>
    </row>
    <row r="40" spans="1:27" s="421" customFormat="1" ht="31.5">
      <c r="A40" s="236">
        <f t="shared" si="5"/>
        <v>203</v>
      </c>
      <c r="B40" s="276" t="s">
        <v>474</v>
      </c>
      <c r="C40" s="238"/>
      <c r="D40" s="238">
        <v>39000</v>
      </c>
      <c r="E40" s="418">
        <v>0</v>
      </c>
      <c r="F40" s="238">
        <v>10000</v>
      </c>
      <c r="G40" s="238">
        <v>5000</v>
      </c>
      <c r="H40" s="300" t="s">
        <v>472</v>
      </c>
      <c r="I40" s="238"/>
      <c r="J40" s="238">
        <v>10000</v>
      </c>
      <c r="K40" s="238">
        <f t="shared" ref="K40:K45" si="20">J40</f>
        <v>10000</v>
      </c>
      <c r="L40" s="239"/>
      <c r="M40" s="239">
        <v>10000</v>
      </c>
      <c r="N40" s="239">
        <f t="shared" si="0"/>
        <v>10000</v>
      </c>
      <c r="O40" s="312"/>
      <c r="P40" s="239">
        <f>N40</f>
        <v>10000</v>
      </c>
      <c r="Q40" s="246">
        <v>10000</v>
      </c>
      <c r="R40" s="205"/>
      <c r="S40" s="246">
        <v>10000</v>
      </c>
      <c r="T40" s="66">
        <f t="shared" si="19"/>
        <v>10000</v>
      </c>
      <c r="U40" s="66">
        <f t="shared" si="18"/>
        <v>20000</v>
      </c>
      <c r="V40" s="66">
        <f t="shared" si="15"/>
        <v>30000</v>
      </c>
      <c r="W40" s="238"/>
      <c r="X40" s="66"/>
      <c r="Y40" s="207" t="s">
        <v>475</v>
      </c>
      <c r="Z40" s="346">
        <v>20000</v>
      </c>
      <c r="AA40" s="68">
        <v>30000</v>
      </c>
    </row>
    <row r="41" spans="1:27" s="421" customFormat="1">
      <c r="A41" s="236">
        <f t="shared" si="5"/>
        <v>204</v>
      </c>
      <c r="B41" s="276" t="s">
        <v>476</v>
      </c>
      <c r="C41" s="238"/>
      <c r="D41" s="238">
        <v>10500</v>
      </c>
      <c r="E41" s="418">
        <v>0</v>
      </c>
      <c r="F41" s="238">
        <v>1500</v>
      </c>
      <c r="G41" s="238">
        <v>1500</v>
      </c>
      <c r="H41" s="300" t="s">
        <v>472</v>
      </c>
      <c r="I41" s="238">
        <v>3500</v>
      </c>
      <c r="J41" s="238">
        <v>1500</v>
      </c>
      <c r="K41" s="238">
        <f t="shared" si="20"/>
        <v>1500</v>
      </c>
      <c r="L41" s="239">
        <v>3500</v>
      </c>
      <c r="M41" s="239">
        <v>1500</v>
      </c>
      <c r="N41" s="239">
        <f t="shared" si="0"/>
        <v>5000</v>
      </c>
      <c r="O41" s="312"/>
      <c r="P41" s="534">
        <v>1500</v>
      </c>
      <c r="Q41" s="233">
        <v>1500</v>
      </c>
      <c r="R41" s="205">
        <v>3500</v>
      </c>
      <c r="S41" s="233">
        <v>1500</v>
      </c>
      <c r="T41" s="66">
        <f t="shared" si="19"/>
        <v>5000</v>
      </c>
      <c r="U41" s="66">
        <f t="shared" si="18"/>
        <v>6500</v>
      </c>
      <c r="V41" s="66">
        <f t="shared" si="15"/>
        <v>8000</v>
      </c>
      <c r="W41" s="238"/>
      <c r="X41" s="66"/>
      <c r="Y41" s="533"/>
      <c r="Z41" s="346">
        <v>6500</v>
      </c>
      <c r="AA41" s="68">
        <v>8000</v>
      </c>
    </row>
    <row r="42" spans="1:27" s="421" customFormat="1">
      <c r="A42" s="236">
        <f>A41+1</f>
        <v>205</v>
      </c>
      <c r="B42" s="276" t="s">
        <v>477</v>
      </c>
      <c r="C42" s="238"/>
      <c r="D42" s="238">
        <v>102000</v>
      </c>
      <c r="E42" s="418">
        <v>0</v>
      </c>
      <c r="F42" s="238">
        <v>25000</v>
      </c>
      <c r="G42" s="238">
        <v>30000</v>
      </c>
      <c r="H42" s="300" t="s">
        <v>472</v>
      </c>
      <c r="I42" s="238">
        <v>15000</v>
      </c>
      <c r="J42" s="238">
        <v>25000</v>
      </c>
      <c r="K42" s="238">
        <f t="shared" si="20"/>
        <v>25000</v>
      </c>
      <c r="L42" s="239">
        <v>15000</v>
      </c>
      <c r="M42" s="239">
        <v>25000</v>
      </c>
      <c r="N42" s="239">
        <f t="shared" si="0"/>
        <v>40000</v>
      </c>
      <c r="O42" s="312"/>
      <c r="P42" s="534">
        <v>25000</v>
      </c>
      <c r="Q42" s="233">
        <v>25000</v>
      </c>
      <c r="R42" s="205">
        <v>15000</v>
      </c>
      <c r="S42" s="233">
        <v>25000</v>
      </c>
      <c r="T42" s="66">
        <f t="shared" si="19"/>
        <v>40000</v>
      </c>
      <c r="U42" s="66">
        <f t="shared" si="18"/>
        <v>65000</v>
      </c>
      <c r="V42" s="66">
        <f t="shared" si="15"/>
        <v>90000</v>
      </c>
      <c r="W42" s="238"/>
      <c r="X42" s="66"/>
      <c r="Y42" s="206"/>
      <c r="Z42" s="346">
        <v>65000</v>
      </c>
      <c r="AA42" s="68">
        <v>90000</v>
      </c>
    </row>
    <row r="43" spans="1:27" s="421" customFormat="1" ht="34.9" customHeight="1">
      <c r="A43" s="236">
        <f t="shared" si="5"/>
        <v>206</v>
      </c>
      <c r="B43" s="276" t="s">
        <v>478</v>
      </c>
      <c r="C43" s="238"/>
      <c r="D43" s="238">
        <v>254000</v>
      </c>
      <c r="E43" s="418">
        <v>0</v>
      </c>
      <c r="F43" s="238">
        <v>75000</v>
      </c>
      <c r="G43" s="238">
        <v>25000</v>
      </c>
      <c r="H43" s="300" t="s">
        <v>472</v>
      </c>
      <c r="I43" s="238"/>
      <c r="J43" s="238">
        <v>75000</v>
      </c>
      <c r="K43" s="238">
        <f t="shared" si="20"/>
        <v>75000</v>
      </c>
      <c r="L43" s="239"/>
      <c r="M43" s="239">
        <v>75000</v>
      </c>
      <c r="N43" s="239">
        <f t="shared" si="0"/>
        <v>75000</v>
      </c>
      <c r="O43" s="312"/>
      <c r="P43" s="534">
        <v>70000</v>
      </c>
      <c r="Q43" s="233">
        <v>50000</v>
      </c>
      <c r="R43" s="205"/>
      <c r="S43" s="233">
        <v>50000</v>
      </c>
      <c r="T43" s="66">
        <f t="shared" si="19"/>
        <v>50000</v>
      </c>
      <c r="U43" s="66">
        <f t="shared" si="18"/>
        <v>100000</v>
      </c>
      <c r="V43" s="66">
        <f t="shared" si="15"/>
        <v>170000</v>
      </c>
      <c r="W43" s="238"/>
      <c r="X43" s="66"/>
      <c r="Y43" s="234" t="s">
        <v>479</v>
      </c>
      <c r="Z43" s="346">
        <v>100000</v>
      </c>
      <c r="AA43" s="68">
        <v>225000</v>
      </c>
    </row>
    <row r="44" spans="1:27" s="421" customFormat="1">
      <c r="A44" s="236">
        <f t="shared" si="5"/>
        <v>207</v>
      </c>
      <c r="B44" s="276" t="s">
        <v>480</v>
      </c>
      <c r="C44" s="238"/>
      <c r="D44" s="238">
        <v>80000</v>
      </c>
      <c r="E44" s="418">
        <v>0</v>
      </c>
      <c r="F44" s="238">
        <v>26666</v>
      </c>
      <c r="G44" s="238">
        <v>26666</v>
      </c>
      <c r="H44" s="300"/>
      <c r="I44" s="238"/>
      <c r="J44" s="238">
        <v>26666</v>
      </c>
      <c r="K44" s="238">
        <f t="shared" si="20"/>
        <v>26666</v>
      </c>
      <c r="L44" s="239"/>
      <c r="M44" s="239">
        <v>26666</v>
      </c>
      <c r="N44" s="239">
        <f t="shared" si="0"/>
        <v>26666</v>
      </c>
      <c r="O44" s="312"/>
      <c r="P44" s="239">
        <f t="shared" ref="P44:P58" si="21">N44</f>
        <v>26666</v>
      </c>
      <c r="Q44" s="205">
        <v>26666</v>
      </c>
      <c r="R44" s="205"/>
      <c r="S44" s="205">
        <v>26666</v>
      </c>
      <c r="T44" s="66">
        <f t="shared" si="19"/>
        <v>26666</v>
      </c>
      <c r="U44" s="66">
        <f t="shared" si="18"/>
        <v>53332</v>
      </c>
      <c r="V44" s="66">
        <f t="shared" si="15"/>
        <v>79998</v>
      </c>
      <c r="W44" s="238"/>
      <c r="X44" s="66"/>
      <c r="Y44" s="206"/>
      <c r="Z44" s="346">
        <v>53332</v>
      </c>
      <c r="AA44" s="68">
        <v>80000</v>
      </c>
    </row>
    <row r="45" spans="1:27" s="421" customFormat="1">
      <c r="A45" s="236">
        <f t="shared" si="5"/>
        <v>208</v>
      </c>
      <c r="B45" s="276" t="s">
        <v>481</v>
      </c>
      <c r="C45" s="238"/>
      <c r="D45" s="238">
        <v>19500</v>
      </c>
      <c r="E45" s="418">
        <v>0</v>
      </c>
      <c r="F45" s="238">
        <v>6500</v>
      </c>
      <c r="G45" s="238">
        <v>6500</v>
      </c>
      <c r="H45" s="300" t="s">
        <v>472</v>
      </c>
      <c r="I45" s="238"/>
      <c r="J45" s="238">
        <v>6500</v>
      </c>
      <c r="K45" s="238">
        <f t="shared" si="20"/>
        <v>6500</v>
      </c>
      <c r="L45" s="239"/>
      <c r="M45" s="239">
        <v>6500</v>
      </c>
      <c r="N45" s="239">
        <f t="shared" si="0"/>
        <v>6500</v>
      </c>
      <c r="O45" s="312"/>
      <c r="P45" s="239">
        <f t="shared" si="21"/>
        <v>6500</v>
      </c>
      <c r="Q45" s="205">
        <v>6500</v>
      </c>
      <c r="R45" s="205"/>
      <c r="S45" s="205">
        <v>7500</v>
      </c>
      <c r="T45" s="66">
        <f t="shared" si="19"/>
        <v>7500</v>
      </c>
      <c r="U45" s="66">
        <f t="shared" si="18"/>
        <v>14000</v>
      </c>
      <c r="V45" s="66">
        <f t="shared" si="15"/>
        <v>20500</v>
      </c>
      <c r="W45" s="238"/>
      <c r="X45" s="66"/>
      <c r="Y45" s="206"/>
      <c r="Z45" s="346">
        <v>14000</v>
      </c>
      <c r="AA45" s="68">
        <v>19500</v>
      </c>
    </row>
    <row r="46" spans="1:27" s="421" customFormat="1">
      <c r="A46" s="236" t="s">
        <v>482</v>
      </c>
      <c r="B46" s="276" t="s">
        <v>188</v>
      </c>
      <c r="C46" s="238"/>
      <c r="D46" s="238"/>
      <c r="E46" s="418">
        <v>0</v>
      </c>
      <c r="F46" s="238"/>
      <c r="G46" s="238">
        <v>0</v>
      </c>
      <c r="H46" s="300"/>
      <c r="I46" s="238"/>
      <c r="J46" s="238"/>
      <c r="K46" s="238">
        <f>I49</f>
        <v>18500</v>
      </c>
      <c r="L46" s="239"/>
      <c r="M46" s="239"/>
      <c r="N46" s="239">
        <f t="shared" si="0"/>
        <v>0</v>
      </c>
      <c r="O46" s="312"/>
      <c r="P46" s="239">
        <f t="shared" si="21"/>
        <v>0</v>
      </c>
      <c r="Q46" s="205"/>
      <c r="R46" s="205"/>
      <c r="S46" s="205"/>
      <c r="T46" s="66">
        <f t="shared" si="19"/>
        <v>0</v>
      </c>
      <c r="U46" s="66">
        <f t="shared" si="18"/>
        <v>0</v>
      </c>
      <c r="V46" s="66">
        <f t="shared" si="15"/>
        <v>0</v>
      </c>
      <c r="W46" s="238"/>
      <c r="X46" s="66"/>
      <c r="Y46" s="206"/>
      <c r="Z46" s="346">
        <v>0</v>
      </c>
      <c r="AA46" s="68">
        <v>0</v>
      </c>
    </row>
    <row r="47" spans="1:27" s="421" customFormat="1">
      <c r="A47" s="236"/>
      <c r="B47" s="276"/>
      <c r="C47" s="238"/>
      <c r="D47" s="238"/>
      <c r="E47" s="418">
        <v>0</v>
      </c>
      <c r="F47" s="238"/>
      <c r="G47" s="238">
        <v>0</v>
      </c>
      <c r="H47" s="300"/>
      <c r="I47" s="238"/>
      <c r="J47" s="238"/>
      <c r="K47" s="238"/>
      <c r="L47" s="239"/>
      <c r="M47" s="239"/>
      <c r="N47" s="239">
        <f t="shared" si="0"/>
        <v>0</v>
      </c>
      <c r="O47" s="312"/>
      <c r="P47" s="239">
        <f t="shared" si="21"/>
        <v>0</v>
      </c>
      <c r="Q47" s="205"/>
      <c r="R47" s="205"/>
      <c r="S47" s="205"/>
      <c r="T47" s="66">
        <f t="shared" si="19"/>
        <v>0</v>
      </c>
      <c r="U47" s="66">
        <f t="shared" si="18"/>
        <v>0</v>
      </c>
      <c r="V47" s="66">
        <f t="shared" si="15"/>
        <v>0</v>
      </c>
      <c r="W47" s="238">
        <f t="shared" ref="W47:W56" si="22">E47+G47+K47</f>
        <v>0</v>
      </c>
      <c r="X47" s="66"/>
      <c r="Y47" s="206"/>
      <c r="Z47" s="346">
        <v>0</v>
      </c>
      <c r="AA47" s="68"/>
    </row>
    <row r="48" spans="1:27" s="421" customFormat="1" ht="17.95" customHeight="1">
      <c r="A48" s="236">
        <f>A45+1</f>
        <v>209</v>
      </c>
      <c r="B48" s="276" t="s">
        <v>190</v>
      </c>
      <c r="C48" s="238">
        <f>'[4]Salary Summary GC Adopted'!Y20</f>
        <v>1055888.9583546571</v>
      </c>
      <c r="D48" s="238">
        <v>1361201.251021893</v>
      </c>
      <c r="E48" s="418">
        <v>439169</v>
      </c>
      <c r="F48" s="238">
        <f>'[3]Salary Summary 19 for 2019-2021'!L22</f>
        <v>434340.00453066797</v>
      </c>
      <c r="G48" s="238">
        <f>F48</f>
        <v>434340.00453066797</v>
      </c>
      <c r="H48" s="300"/>
      <c r="I48" s="238"/>
      <c r="J48" s="238">
        <f>'[3]Salary Summary 20 for 2019-2021'!P22</f>
        <v>493861.24867970403</v>
      </c>
      <c r="K48" s="238">
        <f>J48</f>
        <v>493861.24867970403</v>
      </c>
      <c r="L48" s="239"/>
      <c r="M48" s="239">
        <f>'Salary Summary 21 for 2022-2024'!M23</f>
        <v>507553.64546390733</v>
      </c>
      <c r="N48" s="239">
        <f t="shared" si="0"/>
        <v>507553.64546390733</v>
      </c>
      <c r="O48" s="312"/>
      <c r="P48" s="239">
        <f t="shared" si="21"/>
        <v>507553.64546390733</v>
      </c>
      <c r="Q48" s="246">
        <f>'Salary Summary 21 for 2022-2024'!Q23</f>
        <v>521880.09556135634</v>
      </c>
      <c r="R48" s="205"/>
      <c r="S48" s="246">
        <f>'Salary Summary 21 for 2022-2024'!U23</f>
        <v>538614.21589615499</v>
      </c>
      <c r="T48" s="66">
        <f>R48+S48</f>
        <v>538614.21589615499</v>
      </c>
      <c r="U48" s="66">
        <f t="shared" si="18"/>
        <v>1060494.3114575113</v>
      </c>
      <c r="V48" s="66">
        <f t="shared" si="15"/>
        <v>1568047.9569214187</v>
      </c>
      <c r="W48" s="238">
        <f t="shared" si="22"/>
        <v>1367370.2532103721</v>
      </c>
      <c r="X48" s="66"/>
      <c r="Y48" s="206"/>
      <c r="Z48" s="346">
        <v>1060494.3114575113</v>
      </c>
      <c r="AA48" s="68">
        <v>1357429.692935928</v>
      </c>
    </row>
    <row r="49" spans="1:27" s="434" customFormat="1">
      <c r="A49" s="313">
        <f t="shared" si="5"/>
        <v>210</v>
      </c>
      <c r="B49" s="535" t="s">
        <v>483</v>
      </c>
      <c r="C49" s="510">
        <f>SUM(C38:C48)</f>
        <v>1652888.9583546571</v>
      </c>
      <c r="D49" s="536">
        <f t="shared" ref="D49:N49" si="23">SUM(D38:D48)</f>
        <v>2099201.2510218928</v>
      </c>
      <c r="E49" s="536">
        <f t="shared" si="23"/>
        <v>691003</v>
      </c>
      <c r="F49" s="536">
        <f t="shared" si="23"/>
        <v>652506.00453066803</v>
      </c>
      <c r="G49" s="536">
        <f t="shared" si="23"/>
        <v>559006.00453066803</v>
      </c>
      <c r="H49" s="536">
        <f t="shared" si="23"/>
        <v>0</v>
      </c>
      <c r="I49" s="536">
        <f t="shared" si="23"/>
        <v>18500</v>
      </c>
      <c r="J49" s="536">
        <f t="shared" si="23"/>
        <v>712027.24867970403</v>
      </c>
      <c r="K49" s="536">
        <f t="shared" si="23"/>
        <v>730527.24867970403</v>
      </c>
      <c r="L49" s="537">
        <f t="shared" si="23"/>
        <v>18500</v>
      </c>
      <c r="M49" s="537">
        <f t="shared" si="23"/>
        <v>725719.64546390739</v>
      </c>
      <c r="N49" s="537">
        <f t="shared" si="23"/>
        <v>744219.64546390739</v>
      </c>
      <c r="O49" s="512"/>
      <c r="P49" s="511">
        <f t="shared" si="21"/>
        <v>744219.64546390739</v>
      </c>
      <c r="Q49" s="538">
        <f>SUM(Q38:Q48)</f>
        <v>706546.09556135628</v>
      </c>
      <c r="R49" s="538">
        <f t="shared" ref="R49:U49" si="24">SUM(R38:R48)</f>
        <v>20500</v>
      </c>
      <c r="S49" s="538">
        <f t="shared" si="24"/>
        <v>724280.21589615499</v>
      </c>
      <c r="T49" s="538">
        <f t="shared" si="24"/>
        <v>744780.21589615499</v>
      </c>
      <c r="U49" s="538">
        <f t="shared" si="24"/>
        <v>1451326.3114575113</v>
      </c>
      <c r="V49" s="538">
        <f t="shared" si="15"/>
        <v>2195545.9569214187</v>
      </c>
      <c r="W49" s="510">
        <f t="shared" si="22"/>
        <v>1980536.2532103721</v>
      </c>
      <c r="X49" s="538"/>
      <c r="Y49" s="539"/>
      <c r="Z49" s="540">
        <v>1451326.3114575113</v>
      </c>
      <c r="AA49" s="541">
        <v>2030429.692935928</v>
      </c>
    </row>
    <row r="50" spans="1:27">
      <c r="A50" s="236">
        <f t="shared" si="5"/>
        <v>211</v>
      </c>
      <c r="C50" s="62"/>
      <c r="D50" s="62">
        <v>0</v>
      </c>
      <c r="E50" s="62"/>
      <c r="F50" s="62"/>
      <c r="G50" s="62"/>
      <c r="H50" s="63"/>
      <c r="I50" s="62"/>
      <c r="J50" s="62"/>
      <c r="K50" s="62"/>
      <c r="L50" s="56"/>
      <c r="M50" s="56"/>
      <c r="N50" s="56">
        <f t="shared" si="0"/>
        <v>0</v>
      </c>
      <c r="O50" s="332"/>
      <c r="P50" s="56">
        <f t="shared" si="21"/>
        <v>0</v>
      </c>
      <c r="Q50" s="205"/>
      <c r="R50" s="205"/>
      <c r="S50" s="205"/>
      <c r="T50" s="205"/>
      <c r="U50" s="205"/>
      <c r="V50" s="205"/>
      <c r="W50" s="62">
        <f t="shared" si="22"/>
        <v>0</v>
      </c>
      <c r="X50" s="205"/>
      <c r="Y50" s="206"/>
      <c r="Z50" s="60"/>
      <c r="AA50" s="209"/>
    </row>
    <row r="51" spans="1:27" s="298" customFormat="1">
      <c r="A51" s="236">
        <f t="shared" si="5"/>
        <v>212</v>
      </c>
      <c r="B51" s="310" t="s">
        <v>107</v>
      </c>
      <c r="C51" s="238"/>
      <c r="D51" s="238">
        <v>0</v>
      </c>
      <c r="E51" s="238"/>
      <c r="F51" s="62"/>
      <c r="G51" s="62"/>
      <c r="H51" s="63"/>
      <c r="I51" s="238"/>
      <c r="J51" s="238"/>
      <c r="K51" s="238"/>
      <c r="L51" s="239"/>
      <c r="M51" s="239"/>
      <c r="N51" s="239">
        <f t="shared" si="0"/>
        <v>0</v>
      </c>
      <c r="O51" s="542"/>
      <c r="P51" s="239">
        <f t="shared" si="21"/>
        <v>0</v>
      </c>
      <c r="Q51" s="205"/>
      <c r="R51" s="205"/>
      <c r="S51" s="205"/>
      <c r="T51" s="205"/>
      <c r="U51" s="205"/>
      <c r="V51" s="205"/>
      <c r="W51" s="62">
        <f t="shared" si="22"/>
        <v>0</v>
      </c>
      <c r="X51" s="205"/>
      <c r="Y51" s="206"/>
      <c r="Z51" s="346"/>
      <c r="AA51" s="209"/>
    </row>
    <row r="52" spans="1:27" s="298" customFormat="1">
      <c r="A52" s="236">
        <f t="shared" si="5"/>
        <v>213</v>
      </c>
      <c r="B52" s="298" t="s">
        <v>484</v>
      </c>
      <c r="C52" s="238">
        <f>-C53-C55</f>
        <v>-561728.63640063885</v>
      </c>
      <c r="D52" s="62"/>
      <c r="E52" s="62"/>
      <c r="F52" s="62"/>
      <c r="G52" s="62"/>
      <c r="H52" s="63"/>
      <c r="I52" s="62"/>
      <c r="J52" s="62"/>
      <c r="K52" s="62"/>
      <c r="L52" s="56"/>
      <c r="M52" s="56"/>
      <c r="N52" s="56">
        <f t="shared" si="0"/>
        <v>0</v>
      </c>
      <c r="O52" s="543"/>
      <c r="P52" s="56">
        <f t="shared" si="21"/>
        <v>0</v>
      </c>
      <c r="Q52" s="205"/>
      <c r="R52" s="205"/>
      <c r="S52" s="205"/>
      <c r="T52" s="205"/>
      <c r="U52" s="205"/>
      <c r="V52" s="205"/>
      <c r="W52" s="62">
        <f t="shared" si="22"/>
        <v>0</v>
      </c>
      <c r="X52" s="205"/>
      <c r="Y52" s="206"/>
      <c r="Z52" s="60"/>
      <c r="AA52" s="209"/>
    </row>
    <row r="53" spans="1:27" s="298" customFormat="1" ht="42.75">
      <c r="A53" s="236">
        <f t="shared" si="5"/>
        <v>214</v>
      </c>
      <c r="B53" s="298" t="s">
        <v>485</v>
      </c>
      <c r="C53" s="238">
        <v>339550</v>
      </c>
      <c r="D53" s="62">
        <v>128747</v>
      </c>
      <c r="E53" s="70">
        <v>44740</v>
      </c>
      <c r="F53" s="62">
        <v>42916</v>
      </c>
      <c r="G53" s="62">
        <f>F53</f>
        <v>42916</v>
      </c>
      <c r="H53" s="63" t="s">
        <v>486</v>
      </c>
      <c r="I53" s="62">
        <v>2000</v>
      </c>
      <c r="J53" s="62">
        <v>40916</v>
      </c>
      <c r="K53" s="62">
        <f>J53</f>
        <v>40916</v>
      </c>
      <c r="L53" s="56">
        <v>2000</v>
      </c>
      <c r="M53" s="56">
        <v>43000</v>
      </c>
      <c r="N53" s="56">
        <f t="shared" si="0"/>
        <v>45000</v>
      </c>
      <c r="O53" s="543"/>
      <c r="P53" s="56">
        <f t="shared" si="21"/>
        <v>45000</v>
      </c>
      <c r="Q53" s="205">
        <v>43000</v>
      </c>
      <c r="R53" s="205"/>
      <c r="S53" s="205">
        <v>43000</v>
      </c>
      <c r="T53" s="66">
        <f t="shared" ref="T53:T54" si="25">R53+S53</f>
        <v>43000</v>
      </c>
      <c r="U53" s="66">
        <f>Q53+T53</f>
        <v>86000</v>
      </c>
      <c r="V53" s="66">
        <f t="shared" ref="V53:V116" si="26">U53+P53</f>
        <v>131000</v>
      </c>
      <c r="W53" s="62">
        <f t="shared" si="22"/>
        <v>128572</v>
      </c>
      <c r="X53" s="66"/>
      <c r="Y53" s="206"/>
      <c r="Z53" s="60">
        <v>86000</v>
      </c>
      <c r="AA53" s="68">
        <v>128747</v>
      </c>
    </row>
    <row r="54" spans="1:27" s="298" customFormat="1">
      <c r="A54" s="236" t="s">
        <v>487</v>
      </c>
      <c r="B54" s="298" t="s">
        <v>188</v>
      </c>
      <c r="C54" s="238"/>
      <c r="D54" s="62"/>
      <c r="E54" s="70"/>
      <c r="F54" s="62"/>
      <c r="G54" s="62"/>
      <c r="H54" s="63"/>
      <c r="I54" s="62"/>
      <c r="J54" s="62"/>
      <c r="K54" s="62">
        <f>I56</f>
        <v>2000</v>
      </c>
      <c r="L54" s="56"/>
      <c r="M54" s="56"/>
      <c r="N54" s="56">
        <f t="shared" si="0"/>
        <v>0</v>
      </c>
      <c r="O54" s="543"/>
      <c r="P54" s="56">
        <f t="shared" si="21"/>
        <v>0</v>
      </c>
      <c r="Q54" s="205"/>
      <c r="R54" s="205"/>
      <c r="S54" s="205"/>
      <c r="T54" s="66">
        <f t="shared" si="25"/>
        <v>0</v>
      </c>
      <c r="U54" s="66">
        <f>Q54+T54</f>
        <v>0</v>
      </c>
      <c r="V54" s="66">
        <f t="shared" si="26"/>
        <v>0</v>
      </c>
      <c r="W54" s="62">
        <f t="shared" si="22"/>
        <v>2000</v>
      </c>
      <c r="X54" s="66"/>
      <c r="Y54" s="206"/>
      <c r="Z54" s="60">
        <v>0</v>
      </c>
      <c r="AA54" s="68"/>
    </row>
    <row r="55" spans="1:27" s="298" customFormat="1" ht="25.15" customHeight="1">
      <c r="A55" s="236">
        <f>A53+1</f>
        <v>215</v>
      </c>
      <c r="B55" s="298" t="s">
        <v>488</v>
      </c>
      <c r="C55" s="238">
        <f>'[4]Salary Summary GC Adopted'!Y22</f>
        <v>222178.63640063885</v>
      </c>
      <c r="D55" s="62">
        <v>305377.1019732104</v>
      </c>
      <c r="E55" s="298">
        <v>94866</v>
      </c>
      <c r="F55" s="298">
        <f>'[3]Salary Summary 19 for 2019-2021'!L24</f>
        <v>100278.00557943201</v>
      </c>
      <c r="G55" s="62">
        <f>F55</f>
        <v>100278.00557943201</v>
      </c>
      <c r="H55" s="437"/>
      <c r="J55" s="298">
        <f>'[3]Salary Summary 20 for 2019-2021'!P24</f>
        <v>102540.09814681495</v>
      </c>
      <c r="K55" s="298">
        <f>J55</f>
        <v>102540.09814681495</v>
      </c>
      <c r="L55" s="356"/>
      <c r="M55" s="56">
        <f>'Salary Summary 21 for 2022-2024'!M25</f>
        <v>105489.18941121941</v>
      </c>
      <c r="N55" s="56">
        <f t="shared" si="0"/>
        <v>105489.18941121941</v>
      </c>
      <c r="O55" s="332"/>
      <c r="P55" s="56">
        <f t="shared" si="21"/>
        <v>105489.18941121941</v>
      </c>
      <c r="Q55" s="246">
        <f>'Salary Summary 21 for 2022-2024'!Q25</f>
        <v>109124.19110437365</v>
      </c>
      <c r="R55" s="205"/>
      <c r="S55" s="246">
        <f>'Salary Summary 21 for 2022-2024'!U25</f>
        <v>112717.44622236266</v>
      </c>
      <c r="T55" s="66">
        <f>R55+S55</f>
        <v>112717.44622236266</v>
      </c>
      <c r="U55" s="66">
        <f>Q55+T55</f>
        <v>221841.63732673629</v>
      </c>
      <c r="V55" s="66">
        <f t="shared" si="26"/>
        <v>327330.82673795568</v>
      </c>
      <c r="W55" s="62">
        <f t="shared" si="22"/>
        <v>297684.10372624698</v>
      </c>
      <c r="X55" s="66"/>
      <c r="Y55" s="206"/>
      <c r="Z55" s="60">
        <v>221841.63732673629</v>
      </c>
      <c r="AA55" s="68">
        <v>303737.03576221038</v>
      </c>
    </row>
    <row r="56" spans="1:27" s="525" customFormat="1">
      <c r="A56" s="313">
        <f t="shared" si="5"/>
        <v>216</v>
      </c>
      <c r="B56" s="525" t="s">
        <v>489</v>
      </c>
      <c r="C56" s="92">
        <f>SUM(C52:C55)</f>
        <v>0</v>
      </c>
      <c r="D56" s="92">
        <v>434124.1019732104</v>
      </c>
      <c r="E56" s="92">
        <f t="shared" ref="E56:N56" si="27">SUM(E52:E55)</f>
        <v>139606</v>
      </c>
      <c r="F56" s="92">
        <f t="shared" si="27"/>
        <v>143194.00557943201</v>
      </c>
      <c r="G56" s="92">
        <f t="shared" si="27"/>
        <v>143194.00557943201</v>
      </c>
      <c r="H56" s="142"/>
      <c r="I56" s="92">
        <f t="shared" si="27"/>
        <v>2000</v>
      </c>
      <c r="J56" s="92">
        <f t="shared" si="27"/>
        <v>143456.09814681497</v>
      </c>
      <c r="K56" s="92">
        <f t="shared" si="27"/>
        <v>145456.09814681497</v>
      </c>
      <c r="L56" s="93">
        <f t="shared" si="27"/>
        <v>2000</v>
      </c>
      <c r="M56" s="93">
        <f t="shared" si="27"/>
        <v>148489.18941121941</v>
      </c>
      <c r="N56" s="93">
        <f t="shared" si="27"/>
        <v>150489.18941121941</v>
      </c>
      <c r="O56" s="544" t="s">
        <v>490</v>
      </c>
      <c r="P56" s="93">
        <f t="shared" si="21"/>
        <v>150489.18941121941</v>
      </c>
      <c r="Q56" s="538">
        <f>SUM(Q52:Q55)</f>
        <v>152124.19110437366</v>
      </c>
      <c r="R56" s="538">
        <f t="shared" ref="R56:U56" si="28">SUM(R52:R55)</f>
        <v>0</v>
      </c>
      <c r="S56" s="538">
        <f t="shared" si="28"/>
        <v>155717.44622236266</v>
      </c>
      <c r="T56" s="538">
        <f t="shared" si="28"/>
        <v>155717.44622236266</v>
      </c>
      <c r="U56" s="538">
        <f t="shared" si="28"/>
        <v>307841.63732673629</v>
      </c>
      <c r="V56" s="538">
        <f t="shared" si="26"/>
        <v>458330.82673795568</v>
      </c>
      <c r="W56" s="92">
        <f t="shared" si="22"/>
        <v>428256.10372624698</v>
      </c>
      <c r="X56" s="538"/>
      <c r="Y56" s="539" t="s">
        <v>491</v>
      </c>
      <c r="Z56" s="98">
        <v>307841.63732673629</v>
      </c>
      <c r="AA56" s="541">
        <v>432484.03576221038</v>
      </c>
    </row>
    <row r="57" spans="1:27">
      <c r="A57" s="236">
        <f t="shared" si="5"/>
        <v>217</v>
      </c>
      <c r="C57" s="62"/>
      <c r="D57" s="62"/>
      <c r="E57" s="62"/>
      <c r="F57" s="62"/>
      <c r="G57" s="62"/>
      <c r="H57" s="63"/>
      <c r="I57" s="62"/>
      <c r="J57" s="62"/>
      <c r="K57" s="62"/>
      <c r="L57" s="56"/>
      <c r="M57" s="56"/>
      <c r="N57" s="56">
        <f t="shared" si="0"/>
        <v>0</v>
      </c>
      <c r="O57" s="332"/>
      <c r="P57" s="56">
        <f t="shared" si="21"/>
        <v>0</v>
      </c>
      <c r="Q57" s="205"/>
      <c r="R57" s="205"/>
      <c r="S57" s="205"/>
      <c r="T57" s="205"/>
      <c r="U57" s="205"/>
      <c r="V57" s="205">
        <f t="shared" si="26"/>
        <v>0</v>
      </c>
      <c r="W57" s="62"/>
      <c r="X57" s="205"/>
      <c r="Y57" s="206"/>
      <c r="Z57" s="60"/>
      <c r="AA57" s="209"/>
    </row>
    <row r="58" spans="1:27" s="546" customFormat="1">
      <c r="A58" s="313">
        <f t="shared" si="5"/>
        <v>218</v>
      </c>
      <c r="B58" s="509" t="s">
        <v>492</v>
      </c>
      <c r="C58" s="510">
        <f>C20+C25+C49+C34+C56</f>
        <v>8578824.9583546575</v>
      </c>
      <c r="D58" s="510">
        <v>13006051.030699112</v>
      </c>
      <c r="E58" s="510">
        <f t="shared" ref="E58:G58" si="29">E20+E25+E56+E49+E34</f>
        <v>4565628</v>
      </c>
      <c r="F58" s="510">
        <f t="shared" si="29"/>
        <v>4378789.0459537255</v>
      </c>
      <c r="G58" s="510">
        <f t="shared" si="29"/>
        <v>4098622.0459537255</v>
      </c>
      <c r="H58" s="315"/>
      <c r="I58" s="510">
        <f t="shared" ref="I58:N58" si="30">I20+I25+I56+I49+I34</f>
        <v>50500</v>
      </c>
      <c r="J58" s="510">
        <f t="shared" si="30"/>
        <v>4474549.488196278</v>
      </c>
      <c r="K58" s="510">
        <f t="shared" si="30"/>
        <v>4525049.488196278</v>
      </c>
      <c r="L58" s="511">
        <f t="shared" si="30"/>
        <v>50500</v>
      </c>
      <c r="M58" s="511">
        <f t="shared" si="30"/>
        <v>4754489.3520540502</v>
      </c>
      <c r="N58" s="511">
        <f t="shared" si="30"/>
        <v>4804989.3520540502</v>
      </c>
      <c r="O58" s="512"/>
      <c r="P58" s="511">
        <f t="shared" si="21"/>
        <v>4804989.3520540502</v>
      </c>
      <c r="Q58" s="545">
        <f>Q49+Q56+Q34+Q25+Q20</f>
        <v>4890484.563547492</v>
      </c>
      <c r="R58" s="545">
        <f t="shared" ref="R58:U58" si="31">R49+R56+R34+R25+R20</f>
        <v>121500</v>
      </c>
      <c r="S58" s="545">
        <f t="shared" si="31"/>
        <v>4893930.7477459647</v>
      </c>
      <c r="T58" s="545">
        <f t="shared" si="31"/>
        <v>5015430.7477459647</v>
      </c>
      <c r="U58" s="545">
        <f t="shared" si="31"/>
        <v>9905915.3112934567</v>
      </c>
      <c r="V58" s="320">
        <f t="shared" si="26"/>
        <v>14710904.663347507</v>
      </c>
      <c r="W58" s="510">
        <f>E58+G58+K58</f>
        <v>13189299.534150003</v>
      </c>
      <c r="X58" s="320"/>
      <c r="Y58" s="206"/>
      <c r="Z58" s="515">
        <v>9847588.216102194</v>
      </c>
      <c r="AA58" s="321">
        <v>13152662.639249919</v>
      </c>
    </row>
    <row r="59" spans="1:27">
      <c r="C59" s="62"/>
      <c r="D59" s="62"/>
      <c r="E59" s="62"/>
      <c r="F59" s="62"/>
      <c r="G59" s="62"/>
      <c r="H59" s="63"/>
      <c r="I59" s="62"/>
      <c r="J59" s="62"/>
      <c r="K59" s="62"/>
      <c r="L59" s="62"/>
      <c r="M59" s="62"/>
      <c r="N59" s="62"/>
      <c r="O59" s="547"/>
      <c r="P59" s="62"/>
      <c r="V59" s="89">
        <f t="shared" si="26"/>
        <v>0</v>
      </c>
      <c r="W59" s="62"/>
      <c r="Z59" s="60"/>
    </row>
    <row r="60" spans="1:27">
      <c r="V60" s="89">
        <f t="shared" si="26"/>
        <v>0</v>
      </c>
    </row>
    <row r="61" spans="1:27">
      <c r="V61" s="89">
        <f t="shared" si="26"/>
        <v>0</v>
      </c>
    </row>
    <row r="62" spans="1:27">
      <c r="V62" s="89">
        <f t="shared" si="26"/>
        <v>0</v>
      </c>
    </row>
    <row r="63" spans="1:27">
      <c r="V63" s="89">
        <f t="shared" si="26"/>
        <v>0</v>
      </c>
    </row>
    <row r="64" spans="1:27">
      <c r="V64" s="89">
        <f t="shared" si="26"/>
        <v>0</v>
      </c>
    </row>
    <row r="65" spans="1:27">
      <c r="V65" s="89">
        <f t="shared" si="26"/>
        <v>0</v>
      </c>
    </row>
    <row r="66" spans="1:27">
      <c r="V66" s="89">
        <f t="shared" si="26"/>
        <v>0</v>
      </c>
    </row>
    <row r="67" spans="1:27">
      <c r="B67" s="548"/>
      <c r="C67" s="259"/>
      <c r="D67" s="259"/>
      <c r="E67" s="259"/>
      <c r="F67" s="259"/>
      <c r="G67" s="259"/>
      <c r="H67" s="260"/>
      <c r="I67" s="259"/>
      <c r="J67" s="259"/>
      <c r="K67" s="259"/>
      <c r="L67" s="259"/>
      <c r="M67" s="259"/>
      <c r="N67" s="259"/>
      <c r="O67" s="549"/>
      <c r="P67" s="550"/>
      <c r="V67" s="89">
        <f t="shared" si="26"/>
        <v>0</v>
      </c>
      <c r="W67" s="550"/>
      <c r="Z67" s="261"/>
    </row>
    <row r="68" spans="1:27">
      <c r="B68" s="548"/>
      <c r="C68" s="259"/>
      <c r="D68" s="259"/>
      <c r="E68" s="259"/>
      <c r="F68" s="259"/>
      <c r="G68" s="259"/>
      <c r="H68" s="260"/>
      <c r="I68" s="259"/>
      <c r="J68" s="259"/>
      <c r="K68" s="259"/>
      <c r="L68" s="259"/>
      <c r="M68" s="259"/>
      <c r="N68" s="259"/>
      <c r="O68" s="549"/>
      <c r="P68" s="550"/>
      <c r="V68" s="89">
        <f t="shared" si="26"/>
        <v>0</v>
      </c>
      <c r="W68" s="550"/>
      <c r="Z68" s="261"/>
    </row>
    <row r="69" spans="1:27">
      <c r="B69" s="548"/>
      <c r="C69" s="259"/>
      <c r="D69" s="259"/>
      <c r="E69" s="259"/>
      <c r="F69" s="259"/>
      <c r="G69" s="259"/>
      <c r="H69" s="260"/>
      <c r="I69" s="259"/>
      <c r="J69" s="259"/>
      <c r="K69" s="259"/>
      <c r="L69" s="259"/>
      <c r="M69" s="259"/>
      <c r="N69" s="259"/>
      <c r="O69" s="549"/>
      <c r="P69" s="550"/>
      <c r="V69" s="89">
        <f t="shared" si="26"/>
        <v>0</v>
      </c>
      <c r="W69" s="550"/>
      <c r="Z69" s="261"/>
    </row>
    <row r="70" spans="1:27">
      <c r="B70" s="548"/>
      <c r="C70" s="259"/>
      <c r="D70" s="259"/>
      <c r="E70" s="259"/>
      <c r="F70" s="259"/>
      <c r="G70" s="259"/>
      <c r="H70" s="260"/>
      <c r="I70" s="259"/>
      <c r="J70" s="259"/>
      <c r="K70" s="259"/>
      <c r="L70" s="259"/>
      <c r="M70" s="259"/>
      <c r="N70" s="259"/>
      <c r="O70" s="549"/>
      <c r="P70" s="550"/>
      <c r="V70" s="89">
        <f t="shared" si="26"/>
        <v>0</v>
      </c>
      <c r="W70" s="550"/>
      <c r="Z70" s="261"/>
    </row>
    <row r="71" spans="1:27">
      <c r="B71" s="548"/>
      <c r="C71" s="276"/>
      <c r="D71" s="276"/>
      <c r="E71" s="276"/>
      <c r="F71" s="276"/>
      <c r="G71" s="276"/>
      <c r="H71" s="277"/>
      <c r="I71" s="276"/>
      <c r="J71" s="276"/>
      <c r="K71" s="276"/>
      <c r="L71" s="276"/>
      <c r="M71" s="276"/>
      <c r="N71" s="276"/>
      <c r="V71" s="89">
        <f t="shared" si="26"/>
        <v>0</v>
      </c>
      <c r="Z71" s="440"/>
    </row>
    <row r="72" spans="1:27">
      <c r="V72" s="89">
        <f t="shared" si="26"/>
        <v>0</v>
      </c>
    </row>
    <row r="73" spans="1:27">
      <c r="B73" s="548"/>
      <c r="C73" s="259"/>
      <c r="D73" s="259"/>
      <c r="E73" s="259"/>
      <c r="F73" s="259"/>
      <c r="G73" s="259"/>
      <c r="H73" s="260"/>
      <c r="I73" s="259"/>
      <c r="J73" s="259"/>
      <c r="K73" s="259"/>
      <c r="L73" s="259"/>
      <c r="M73" s="259"/>
      <c r="N73" s="259"/>
      <c r="O73" s="549"/>
      <c r="P73" s="550"/>
      <c r="V73" s="89">
        <f t="shared" si="26"/>
        <v>0</v>
      </c>
      <c r="W73" s="550"/>
      <c r="Z73" s="261"/>
    </row>
    <row r="74" spans="1:27">
      <c r="C74" s="259"/>
      <c r="D74" s="259"/>
      <c r="E74" s="259"/>
      <c r="F74" s="259"/>
      <c r="G74" s="259"/>
      <c r="H74" s="260"/>
      <c r="I74" s="259"/>
      <c r="J74" s="259"/>
      <c r="K74" s="259"/>
      <c r="L74" s="259"/>
      <c r="M74" s="259"/>
      <c r="N74" s="259"/>
      <c r="O74" s="549"/>
      <c r="P74" s="550"/>
      <c r="V74" s="89">
        <f t="shared" si="26"/>
        <v>0</v>
      </c>
      <c r="W74" s="550"/>
      <c r="Z74" s="261"/>
    </row>
    <row r="75" spans="1:27" s="238" customFormat="1">
      <c r="A75" s="236"/>
      <c r="B75" s="502"/>
      <c r="H75" s="300"/>
      <c r="O75" s="523"/>
      <c r="Q75" s="89"/>
      <c r="R75" s="89"/>
      <c r="S75" s="89"/>
      <c r="T75" s="89"/>
      <c r="U75" s="89"/>
      <c r="V75" s="89">
        <f t="shared" si="26"/>
        <v>0</v>
      </c>
      <c r="X75" s="89"/>
      <c r="Y75" s="8"/>
      <c r="Z75" s="346"/>
      <c r="AA75" s="8"/>
    </row>
    <row r="76" spans="1:27">
      <c r="V76" s="89">
        <f t="shared" si="26"/>
        <v>0</v>
      </c>
    </row>
    <row r="77" spans="1:27" s="238" customFormat="1">
      <c r="A77" s="236"/>
      <c r="B77" s="502"/>
      <c r="H77" s="300"/>
      <c r="O77" s="523"/>
      <c r="Q77" s="89"/>
      <c r="R77" s="89"/>
      <c r="S77" s="89"/>
      <c r="T77" s="89"/>
      <c r="U77" s="89"/>
      <c r="V77" s="89">
        <f t="shared" si="26"/>
        <v>0</v>
      </c>
      <c r="X77" s="89"/>
      <c r="Y77" s="8"/>
      <c r="Z77" s="346"/>
      <c r="AA77" s="8"/>
    </row>
    <row r="78" spans="1:27">
      <c r="V78" s="89">
        <f t="shared" si="26"/>
        <v>0</v>
      </c>
    </row>
    <row r="79" spans="1:27">
      <c r="V79" s="89">
        <f t="shared" si="26"/>
        <v>0</v>
      </c>
    </row>
    <row r="80" spans="1:27">
      <c r="V80" s="89">
        <f t="shared" si="26"/>
        <v>0</v>
      </c>
    </row>
    <row r="81" spans="15:22" ht="71.25">
      <c r="O81" s="523" t="s">
        <v>196</v>
      </c>
      <c r="V81" s="89">
        <f t="shared" si="26"/>
        <v>0</v>
      </c>
    </row>
    <row r="82" spans="15:22">
      <c r="V82" s="89">
        <f t="shared" si="26"/>
        <v>0</v>
      </c>
    </row>
    <row r="83" spans="15:22">
      <c r="V83" s="89">
        <f t="shared" si="26"/>
        <v>0</v>
      </c>
    </row>
    <row r="84" spans="15:22">
      <c r="V84" s="89">
        <f t="shared" si="26"/>
        <v>0</v>
      </c>
    </row>
    <row r="85" spans="15:22">
      <c r="V85" s="89">
        <f t="shared" si="26"/>
        <v>0</v>
      </c>
    </row>
    <row r="86" spans="15:22">
      <c r="V86" s="89">
        <f t="shared" si="26"/>
        <v>0</v>
      </c>
    </row>
    <row r="87" spans="15:22">
      <c r="V87" s="89">
        <f t="shared" si="26"/>
        <v>0</v>
      </c>
    </row>
    <row r="88" spans="15:22">
      <c r="V88" s="89">
        <f t="shared" si="26"/>
        <v>0</v>
      </c>
    </row>
    <row r="89" spans="15:22">
      <c r="V89" s="89">
        <f t="shared" si="26"/>
        <v>0</v>
      </c>
    </row>
    <row r="90" spans="15:22">
      <c r="V90" s="89">
        <f t="shared" si="26"/>
        <v>0</v>
      </c>
    </row>
    <row r="91" spans="15:22">
      <c r="V91" s="89">
        <f t="shared" si="26"/>
        <v>0</v>
      </c>
    </row>
    <row r="92" spans="15:22">
      <c r="V92" s="89">
        <f t="shared" si="26"/>
        <v>0</v>
      </c>
    </row>
    <row r="93" spans="15:22">
      <c r="V93" s="89">
        <f t="shared" si="26"/>
        <v>0</v>
      </c>
    </row>
    <row r="94" spans="15:22">
      <c r="V94" s="89">
        <f t="shared" si="26"/>
        <v>0</v>
      </c>
    </row>
    <row r="95" spans="15:22">
      <c r="V95" s="89">
        <f t="shared" si="26"/>
        <v>0</v>
      </c>
    </row>
    <row r="96" spans="15:22">
      <c r="V96" s="89">
        <f t="shared" si="26"/>
        <v>0</v>
      </c>
    </row>
    <row r="97" spans="22:22">
      <c r="V97" s="89">
        <f t="shared" si="26"/>
        <v>0</v>
      </c>
    </row>
    <row r="98" spans="22:22">
      <c r="V98" s="89">
        <f t="shared" si="26"/>
        <v>0</v>
      </c>
    </row>
    <row r="99" spans="22:22">
      <c r="V99" s="89">
        <f t="shared" si="26"/>
        <v>0</v>
      </c>
    </row>
    <row r="100" spans="22:22">
      <c r="V100" s="89">
        <f t="shared" si="26"/>
        <v>0</v>
      </c>
    </row>
    <row r="101" spans="22:22">
      <c r="V101" s="89">
        <f t="shared" si="26"/>
        <v>0</v>
      </c>
    </row>
    <row r="102" spans="22:22">
      <c r="V102" s="89">
        <f t="shared" si="26"/>
        <v>0</v>
      </c>
    </row>
    <row r="103" spans="22:22">
      <c r="V103" s="89">
        <f t="shared" si="26"/>
        <v>0</v>
      </c>
    </row>
    <row r="104" spans="22:22">
      <c r="V104" s="89">
        <f t="shared" si="26"/>
        <v>0</v>
      </c>
    </row>
    <row r="105" spans="22:22">
      <c r="V105" s="89">
        <f t="shared" si="26"/>
        <v>0</v>
      </c>
    </row>
    <row r="106" spans="22:22">
      <c r="V106" s="89">
        <f t="shared" si="26"/>
        <v>0</v>
      </c>
    </row>
    <row r="107" spans="22:22">
      <c r="V107" s="89">
        <f t="shared" si="26"/>
        <v>0</v>
      </c>
    </row>
    <row r="108" spans="22:22">
      <c r="V108" s="89">
        <f t="shared" si="26"/>
        <v>0</v>
      </c>
    </row>
    <row r="109" spans="22:22">
      <c r="V109" s="89">
        <f t="shared" si="26"/>
        <v>0</v>
      </c>
    </row>
    <row r="110" spans="22:22">
      <c r="V110" s="89">
        <f t="shared" si="26"/>
        <v>0</v>
      </c>
    </row>
    <row r="111" spans="22:22">
      <c r="V111" s="89">
        <f t="shared" si="26"/>
        <v>0</v>
      </c>
    </row>
    <row r="112" spans="22:22">
      <c r="V112" s="89">
        <f t="shared" si="26"/>
        <v>0</v>
      </c>
    </row>
    <row r="113" spans="22:22">
      <c r="V113" s="89">
        <f t="shared" si="26"/>
        <v>0</v>
      </c>
    </row>
    <row r="114" spans="22:22">
      <c r="V114" s="89">
        <f t="shared" si="26"/>
        <v>0</v>
      </c>
    </row>
    <row r="115" spans="22:22">
      <c r="V115" s="89">
        <f t="shared" si="26"/>
        <v>0</v>
      </c>
    </row>
    <row r="116" spans="22:22">
      <c r="V116" s="89">
        <f t="shared" si="26"/>
        <v>0</v>
      </c>
    </row>
    <row r="117" spans="22:22">
      <c r="V117" s="89">
        <f t="shared" ref="V117:V149" si="32">U117+P117</f>
        <v>0</v>
      </c>
    </row>
    <row r="118" spans="22:22">
      <c r="V118" s="89">
        <f t="shared" si="32"/>
        <v>0</v>
      </c>
    </row>
    <row r="119" spans="22:22">
      <c r="V119" s="89">
        <f t="shared" si="32"/>
        <v>0</v>
      </c>
    </row>
    <row r="120" spans="22:22">
      <c r="V120" s="89">
        <f t="shared" si="32"/>
        <v>0</v>
      </c>
    </row>
    <row r="121" spans="22:22">
      <c r="V121" s="89">
        <f t="shared" si="32"/>
        <v>0</v>
      </c>
    </row>
    <row r="122" spans="22:22">
      <c r="V122" s="89">
        <f t="shared" si="32"/>
        <v>0</v>
      </c>
    </row>
    <row r="123" spans="22:22">
      <c r="V123" s="89">
        <f t="shared" si="32"/>
        <v>0</v>
      </c>
    </row>
    <row r="124" spans="22:22">
      <c r="V124" s="89">
        <f t="shared" si="32"/>
        <v>0</v>
      </c>
    </row>
    <row r="125" spans="22:22">
      <c r="V125" s="89">
        <f t="shared" si="32"/>
        <v>0</v>
      </c>
    </row>
    <row r="126" spans="22:22">
      <c r="V126" s="89">
        <f t="shared" si="32"/>
        <v>0</v>
      </c>
    </row>
    <row r="127" spans="22:22">
      <c r="V127" s="89">
        <f t="shared" si="32"/>
        <v>0</v>
      </c>
    </row>
    <row r="128" spans="22:22">
      <c r="V128" s="89">
        <f t="shared" si="32"/>
        <v>0</v>
      </c>
    </row>
    <row r="129" spans="22:22">
      <c r="V129" s="89">
        <f t="shared" si="32"/>
        <v>0</v>
      </c>
    </row>
    <row r="130" spans="22:22">
      <c r="V130" s="89">
        <f t="shared" si="32"/>
        <v>0</v>
      </c>
    </row>
    <row r="131" spans="22:22">
      <c r="V131" s="89">
        <f t="shared" si="32"/>
        <v>0</v>
      </c>
    </row>
    <row r="132" spans="22:22">
      <c r="V132" s="89">
        <f t="shared" si="32"/>
        <v>0</v>
      </c>
    </row>
    <row r="133" spans="22:22">
      <c r="V133" s="89">
        <f t="shared" si="32"/>
        <v>0</v>
      </c>
    </row>
    <row r="134" spans="22:22">
      <c r="V134" s="89">
        <f t="shared" si="32"/>
        <v>0</v>
      </c>
    </row>
    <row r="135" spans="22:22">
      <c r="V135" s="89">
        <f t="shared" si="32"/>
        <v>0</v>
      </c>
    </row>
    <row r="136" spans="22:22">
      <c r="V136" s="89">
        <f t="shared" si="32"/>
        <v>0</v>
      </c>
    </row>
    <row r="137" spans="22:22">
      <c r="V137" s="89">
        <f t="shared" si="32"/>
        <v>0</v>
      </c>
    </row>
    <row r="138" spans="22:22">
      <c r="V138" s="89">
        <f t="shared" si="32"/>
        <v>0</v>
      </c>
    </row>
    <row r="139" spans="22:22">
      <c r="V139" s="89">
        <f t="shared" si="32"/>
        <v>0</v>
      </c>
    </row>
    <row r="140" spans="22:22">
      <c r="V140" s="89">
        <f t="shared" si="32"/>
        <v>0</v>
      </c>
    </row>
    <row r="141" spans="22:22">
      <c r="V141" s="89">
        <f t="shared" si="32"/>
        <v>0</v>
      </c>
    </row>
    <row r="142" spans="22:22">
      <c r="V142" s="89">
        <f t="shared" si="32"/>
        <v>0</v>
      </c>
    </row>
    <row r="143" spans="22:22">
      <c r="V143" s="89">
        <f t="shared" si="32"/>
        <v>0</v>
      </c>
    </row>
    <row r="144" spans="22:22">
      <c r="V144" s="89">
        <f t="shared" si="32"/>
        <v>0</v>
      </c>
    </row>
    <row r="145" spans="22:22">
      <c r="V145" s="89">
        <f t="shared" si="32"/>
        <v>0</v>
      </c>
    </row>
    <row r="146" spans="22:22">
      <c r="V146" s="89">
        <f t="shared" si="32"/>
        <v>0</v>
      </c>
    </row>
    <row r="147" spans="22:22">
      <c r="V147" s="89">
        <f t="shared" si="32"/>
        <v>0</v>
      </c>
    </row>
    <row r="148" spans="22:22">
      <c r="V148" s="89">
        <f t="shared" si="32"/>
        <v>0</v>
      </c>
    </row>
    <row r="149" spans="22:22">
      <c r="V149" s="89">
        <f t="shared" si="32"/>
        <v>0</v>
      </c>
    </row>
  </sheetData>
  <autoFilter ref="B5:O60" xr:uid="{00000000-0009-0000-0000-000008000000}"/>
  <printOptions horizontalCentered="1" headings="1" gridLines="1"/>
  <pageMargins left="0" right="0" top="0.75" bottom="0.25" header="0.25" footer="0.25"/>
  <pageSetup scale="38" fitToHeight="2" orientation="landscape" r:id="rId1"/>
  <headerFooter>
    <oddFooter>Page &amp;P of &amp;N</oddFooter>
  </headerFooter>
  <rowBreaks count="1" manualBreakCount="1">
    <brk id="36" max="24" man="1"/>
  </rowBreaks>
  <colBreaks count="1" manualBreakCount="1">
    <brk id="15" max="5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AF8A1-E903-49F7-ADB4-0696187A0914}">
  <sheetPr>
    <tabColor rgb="FFFF0000"/>
    <pageSetUpPr fitToPage="1"/>
  </sheetPr>
  <dimension ref="A1:AA233"/>
  <sheetViews>
    <sheetView tabSelected="1" view="pageBreakPreview" zoomScale="75" zoomScaleNormal="75" zoomScaleSheetLayoutView="75" workbookViewId="0">
      <pane xSplit="10" ySplit="5" topLeftCell="Q128" activePane="bottomRight" state="frozen"/>
      <selection activeCell="Y25" sqref="Y25"/>
      <selection pane="topRight" activeCell="Y25" sqref="Y25"/>
      <selection pane="bottomLeft" activeCell="Y25" sqref="Y25"/>
      <selection pane="bottomRight" activeCell="Y25" sqref="Y25"/>
    </sheetView>
  </sheetViews>
  <sheetFormatPr defaultColWidth="9" defaultRowHeight="14.25"/>
  <cols>
    <col min="1" max="1" width="12.0625" style="236" customWidth="1"/>
    <col min="2" max="2" width="35.3125" style="421" customWidth="1"/>
    <col min="3" max="3" width="14.5625" style="421" hidden="1" customWidth="1"/>
    <col min="4" max="4" width="11.5625" style="421" hidden="1" customWidth="1"/>
    <col min="5" max="5" width="14.25" style="421" hidden="1" customWidth="1"/>
    <col min="6" max="6" width="14.75" style="421" hidden="1" customWidth="1"/>
    <col min="7" max="7" width="15.0625" style="421" hidden="1" customWidth="1"/>
    <col min="8" max="8" width="12.0625" style="548" hidden="1" customWidth="1"/>
    <col min="9" max="10" width="15.0625" style="421" hidden="1" customWidth="1"/>
    <col min="11" max="11" width="13.5" style="421" hidden="1" customWidth="1"/>
    <col min="12" max="12" width="10.5" style="421" hidden="1" customWidth="1"/>
    <col min="13" max="13" width="10.5625" style="421" hidden="1" customWidth="1"/>
    <col min="14" max="14" width="15.0625" style="421" hidden="1" customWidth="1"/>
    <col min="15" max="15" width="55.5" style="523" hidden="1" customWidth="1"/>
    <col min="16" max="16" width="15.0625" style="421" customWidth="1"/>
    <col min="17" max="17" width="20.8125" style="421" customWidth="1"/>
    <col min="18" max="18" width="18" style="421" customWidth="1"/>
    <col min="19" max="19" width="20.3125" style="421" customWidth="1"/>
    <col min="20" max="20" width="14.5" style="421" customWidth="1"/>
    <col min="21" max="21" width="19.8125" style="421" customWidth="1"/>
    <col min="22" max="22" width="19.8125" style="238" customWidth="1"/>
    <col min="23" max="23" width="18.75" style="421" customWidth="1"/>
    <col min="24" max="24" width="30.3125" style="548" customWidth="1"/>
    <col min="25" max="25" width="57.75" style="421" customWidth="1"/>
    <col min="26" max="26" width="16.9375" style="657" customWidth="1"/>
    <col min="27" max="27" width="17.75" style="238" customWidth="1"/>
    <col min="28" max="16384" width="9" style="421"/>
  </cols>
  <sheetData>
    <row r="1" spans="1:27" s="503" customFormat="1" ht="15" customHeight="1">
      <c r="A1" s="551" t="s">
        <v>0</v>
      </c>
      <c r="C1" s="552"/>
      <c r="D1" s="552"/>
      <c r="E1" s="552"/>
      <c r="F1" s="552"/>
      <c r="G1" s="62"/>
      <c r="H1" s="63"/>
      <c r="I1" s="552"/>
      <c r="J1" s="552"/>
      <c r="K1" s="552"/>
      <c r="L1" s="553"/>
      <c r="M1" s="553"/>
      <c r="O1" s="554" t="s">
        <v>1</v>
      </c>
      <c r="V1" s="238"/>
      <c r="W1" s="552"/>
      <c r="X1" s="502"/>
      <c r="Y1" s="554" t="s">
        <v>1</v>
      </c>
      <c r="Z1" s="555"/>
      <c r="AA1" s="238"/>
    </row>
    <row r="2" spans="1:27" s="503" customFormat="1" ht="16.899999999999999" customHeight="1">
      <c r="A2" s="556" t="s">
        <v>1167</v>
      </c>
      <c r="B2" s="557"/>
      <c r="C2" s="558"/>
      <c r="D2" s="558"/>
      <c r="E2" s="558"/>
      <c r="F2" s="558"/>
      <c r="G2" s="62"/>
      <c r="H2" s="63"/>
      <c r="I2" s="558"/>
      <c r="J2" s="558"/>
      <c r="K2" s="558"/>
      <c r="L2" s="553"/>
      <c r="M2" s="553"/>
      <c r="V2" s="238"/>
      <c r="W2" s="558"/>
      <c r="X2" s="502"/>
      <c r="Z2" s="555"/>
      <c r="AA2" s="238"/>
    </row>
    <row r="3" spans="1:27" s="559" customFormat="1" ht="16.5" customHeight="1">
      <c r="A3" s="272" t="s">
        <v>493</v>
      </c>
      <c r="B3" s="272"/>
      <c r="G3" s="62"/>
      <c r="H3" s="63"/>
      <c r="V3" s="435"/>
      <c r="X3" s="560"/>
      <c r="Z3" s="561"/>
      <c r="AA3" s="435"/>
    </row>
    <row r="4" spans="1:27" ht="14.65" thickBot="1">
      <c r="A4" s="562"/>
      <c r="B4" s="277"/>
      <c r="C4" s="493"/>
      <c r="D4" s="493"/>
      <c r="E4" s="493"/>
      <c r="F4" s="493"/>
      <c r="G4" s="493"/>
      <c r="H4" s="494"/>
      <c r="I4" s="493"/>
      <c r="J4" s="493"/>
      <c r="K4" s="493"/>
      <c r="L4" s="493"/>
      <c r="M4" s="493"/>
      <c r="N4" s="493"/>
      <c r="O4" s="495"/>
      <c r="P4" s="493"/>
      <c r="W4" s="493"/>
      <c r="Z4" s="496"/>
    </row>
    <row r="5" spans="1:27" s="576" customFormat="1" ht="65.55" customHeight="1" thickBot="1">
      <c r="A5" s="563" t="s">
        <v>5</v>
      </c>
      <c r="B5" s="564" t="s">
        <v>6</v>
      </c>
      <c r="C5" s="565" t="s">
        <v>7</v>
      </c>
      <c r="D5" s="566" t="s">
        <v>8</v>
      </c>
      <c r="E5" s="567" t="s">
        <v>9</v>
      </c>
      <c r="F5" s="567" t="s">
        <v>10</v>
      </c>
      <c r="G5" s="567" t="s">
        <v>11</v>
      </c>
      <c r="H5" s="567" t="s">
        <v>12</v>
      </c>
      <c r="I5" s="30" t="s">
        <v>141</v>
      </c>
      <c r="J5" s="30" t="s">
        <v>142</v>
      </c>
      <c r="K5" s="30" t="s">
        <v>15</v>
      </c>
      <c r="L5" s="568" t="s">
        <v>143</v>
      </c>
      <c r="M5" s="568" t="s">
        <v>17</v>
      </c>
      <c r="N5" s="568" t="s">
        <v>144</v>
      </c>
      <c r="O5" s="568" t="s">
        <v>145</v>
      </c>
      <c r="P5" s="568" t="s">
        <v>20</v>
      </c>
      <c r="Q5" s="569" t="s">
        <v>146</v>
      </c>
      <c r="R5" s="569" t="s">
        <v>147</v>
      </c>
      <c r="S5" s="569" t="s">
        <v>23</v>
      </c>
      <c r="T5" s="569" t="s">
        <v>24</v>
      </c>
      <c r="U5" s="569" t="s">
        <v>25</v>
      </c>
      <c r="V5" s="570" t="s">
        <v>148</v>
      </c>
      <c r="W5" s="571" t="s">
        <v>27</v>
      </c>
      <c r="X5" s="572" t="s">
        <v>28</v>
      </c>
      <c r="Y5" s="573" t="s">
        <v>29</v>
      </c>
      <c r="Z5" s="574" t="s">
        <v>30</v>
      </c>
      <c r="AA5" s="575" t="s">
        <v>149</v>
      </c>
    </row>
    <row r="6" spans="1:27">
      <c r="A6" s="562"/>
      <c r="B6" s="502"/>
      <c r="C6" s="62"/>
      <c r="D6" s="62"/>
      <c r="E6" s="62"/>
      <c r="F6" s="62"/>
      <c r="G6" s="62"/>
      <c r="H6" s="63"/>
      <c r="I6" s="62"/>
      <c r="J6" s="62"/>
      <c r="K6" s="62"/>
      <c r="L6" s="56"/>
      <c r="M6" s="56"/>
      <c r="N6" s="56"/>
      <c r="O6" s="332"/>
      <c r="P6" s="56"/>
      <c r="Q6" s="422"/>
      <c r="R6" s="422"/>
      <c r="S6" s="422"/>
      <c r="T6" s="422"/>
      <c r="U6" s="422"/>
      <c r="V6" s="294"/>
      <c r="W6" s="62"/>
      <c r="X6" s="423"/>
      <c r="Y6" s="422"/>
      <c r="Z6" s="60"/>
      <c r="AA6" s="297"/>
    </row>
    <row r="7" spans="1:27" s="434" customFormat="1">
      <c r="A7" s="495">
        <f>1+'PB Ministry'!A58</f>
        <v>219</v>
      </c>
      <c r="B7" s="504" t="s">
        <v>494</v>
      </c>
      <c r="C7" s="577"/>
      <c r="D7" s="577"/>
      <c r="E7" s="577"/>
      <c r="F7" s="577"/>
      <c r="G7" s="577"/>
      <c r="H7" s="415"/>
      <c r="I7" s="577"/>
      <c r="J7" s="577"/>
      <c r="K7" s="577"/>
      <c r="L7" s="578"/>
      <c r="M7" s="578"/>
      <c r="N7" s="578"/>
      <c r="O7" s="579"/>
      <c r="P7" s="578"/>
      <c r="Q7" s="580"/>
      <c r="R7" s="580"/>
      <c r="S7" s="580"/>
      <c r="T7" s="580"/>
      <c r="U7" s="580"/>
      <c r="V7" s="320"/>
      <c r="W7" s="577"/>
      <c r="X7" s="581"/>
      <c r="Y7" s="580"/>
      <c r="Z7" s="582"/>
      <c r="AA7" s="321"/>
    </row>
    <row r="8" spans="1:27">
      <c r="A8" s="562">
        <f>A7+1</f>
        <v>220</v>
      </c>
      <c r="B8" s="502"/>
      <c r="C8" s="62"/>
      <c r="D8" s="62"/>
      <c r="E8" s="62"/>
      <c r="F8" s="62"/>
      <c r="G8" s="62"/>
      <c r="H8" s="63"/>
      <c r="I8" s="62"/>
      <c r="J8" s="62"/>
      <c r="K8" s="62"/>
      <c r="L8" s="56"/>
      <c r="M8" s="56"/>
      <c r="N8" s="56"/>
      <c r="O8" s="332"/>
      <c r="P8" s="56"/>
      <c r="Q8" s="422"/>
      <c r="R8" s="422"/>
      <c r="S8" s="422"/>
      <c r="T8" s="422"/>
      <c r="U8" s="422"/>
      <c r="V8" s="294">
        <f>U8+P8</f>
        <v>0</v>
      </c>
      <c r="W8" s="62"/>
      <c r="X8" s="423"/>
      <c r="Y8" s="422"/>
      <c r="Z8" s="60"/>
      <c r="AA8" s="297"/>
    </row>
    <row r="9" spans="1:27">
      <c r="A9" s="495">
        <f t="shared" ref="A9:A72" si="0">A8+1</f>
        <v>221</v>
      </c>
      <c r="B9" s="504" t="s">
        <v>495</v>
      </c>
      <c r="C9" s="62">
        <v>545570</v>
      </c>
      <c r="D9" s="62"/>
      <c r="E9" s="62"/>
      <c r="F9" s="62"/>
      <c r="G9" s="62"/>
      <c r="H9" s="63"/>
      <c r="I9" s="62"/>
      <c r="J9" s="62"/>
      <c r="K9" s="62"/>
      <c r="L9" s="56"/>
      <c r="M9" s="56"/>
      <c r="N9" s="56"/>
      <c r="O9" s="312"/>
      <c r="P9" s="56"/>
      <c r="Q9" s="422"/>
      <c r="R9" s="422"/>
      <c r="S9" s="422"/>
      <c r="T9" s="422"/>
      <c r="U9" s="422"/>
      <c r="V9" s="294"/>
      <c r="W9" s="62">
        <f>E9+G9+K9</f>
        <v>0</v>
      </c>
      <c r="X9" s="423"/>
      <c r="Y9" s="422"/>
      <c r="Z9" s="60"/>
      <c r="AA9" s="297"/>
    </row>
    <row r="10" spans="1:27">
      <c r="A10" s="562">
        <f t="shared" si="0"/>
        <v>222</v>
      </c>
      <c r="B10" s="502" t="s">
        <v>496</v>
      </c>
      <c r="C10" s="62"/>
      <c r="D10" s="62">
        <v>0</v>
      </c>
      <c r="E10" s="62"/>
      <c r="F10" s="62"/>
      <c r="G10" s="62"/>
      <c r="H10" s="63"/>
      <c r="I10" s="62"/>
      <c r="J10" s="62"/>
      <c r="K10" s="62"/>
      <c r="L10" s="56"/>
      <c r="M10" s="56"/>
      <c r="N10" s="56"/>
      <c r="O10" s="312"/>
      <c r="P10" s="56"/>
      <c r="Q10" s="583"/>
      <c r="R10" s="583"/>
      <c r="S10" s="583"/>
      <c r="T10" s="66">
        <f t="shared" ref="T10" si="1">R10+S10</f>
        <v>0</v>
      </c>
      <c r="U10" s="66">
        <f t="shared" ref="U10:U21" si="2">Q10+T10</f>
        <v>0</v>
      </c>
      <c r="V10" s="66">
        <f t="shared" ref="V10:V73" si="3">U10+P10</f>
        <v>0</v>
      </c>
      <c r="W10" s="62">
        <f>E10+G10+K10</f>
        <v>0</v>
      </c>
      <c r="X10" s="137"/>
      <c r="Y10" s="66"/>
      <c r="Z10" s="60">
        <v>0</v>
      </c>
      <c r="AA10" s="68"/>
    </row>
    <row r="11" spans="1:27" ht="28.5">
      <c r="A11" s="562">
        <f t="shared" si="0"/>
        <v>223</v>
      </c>
      <c r="B11" s="502" t="s">
        <v>497</v>
      </c>
      <c r="C11" s="62"/>
      <c r="D11" s="62">
        <v>125000</v>
      </c>
      <c r="E11" s="62"/>
      <c r="F11" s="62"/>
      <c r="G11" s="62"/>
      <c r="H11" s="63"/>
      <c r="I11" s="62">
        <v>125000</v>
      </c>
      <c r="J11" s="62"/>
      <c r="K11" s="62">
        <f>I11</f>
        <v>125000</v>
      </c>
      <c r="L11" s="56">
        <v>125000</v>
      </c>
      <c r="M11" s="56"/>
      <c r="N11" s="56">
        <f t="shared" ref="N11:N73" si="4">L11+M11</f>
        <v>125000</v>
      </c>
      <c r="O11" s="312"/>
      <c r="P11" s="56">
        <f t="shared" ref="P11:P74" si="5">N11</f>
        <v>125000</v>
      </c>
      <c r="Q11" s="420">
        <v>0</v>
      </c>
      <c r="R11" s="584">
        <v>25000</v>
      </c>
      <c r="S11" s="66"/>
      <c r="T11" s="66">
        <f>R11+S11</f>
        <v>25000</v>
      </c>
      <c r="U11" s="66">
        <f t="shared" si="2"/>
        <v>25000</v>
      </c>
      <c r="V11" s="66">
        <f t="shared" si="3"/>
        <v>150000</v>
      </c>
      <c r="W11" s="62"/>
      <c r="X11" s="585" t="s">
        <v>498</v>
      </c>
      <c r="Y11" s="66"/>
      <c r="Z11" s="586">
        <v>125000</v>
      </c>
      <c r="AA11" s="68">
        <v>290000</v>
      </c>
    </row>
    <row r="12" spans="1:27" ht="25.5" customHeight="1">
      <c r="A12" s="562">
        <f t="shared" si="0"/>
        <v>224</v>
      </c>
      <c r="B12" s="502" t="s">
        <v>499</v>
      </c>
      <c r="C12" s="62"/>
      <c r="D12" s="62">
        <v>75000</v>
      </c>
      <c r="E12" s="62"/>
      <c r="F12" s="62">
        <v>49870</v>
      </c>
      <c r="G12" s="62">
        <v>10000</v>
      </c>
      <c r="H12" s="523" t="s">
        <v>500</v>
      </c>
      <c r="I12" s="62"/>
      <c r="J12" s="62">
        <v>59700</v>
      </c>
      <c r="K12" s="62">
        <f>J12</f>
        <v>59700</v>
      </c>
      <c r="L12" s="56"/>
      <c r="M12" s="56">
        <v>16900</v>
      </c>
      <c r="N12" s="56">
        <f t="shared" si="4"/>
        <v>16900</v>
      </c>
      <c r="O12" s="312"/>
      <c r="P12" s="56">
        <f t="shared" si="5"/>
        <v>16900</v>
      </c>
      <c r="Q12" s="420">
        <v>16900</v>
      </c>
      <c r="R12" s="420"/>
      <c r="S12" s="66">
        <v>16900</v>
      </c>
      <c r="T12" s="66">
        <f t="shared" ref="T12:T21" si="6">R12+S12</f>
        <v>16900</v>
      </c>
      <c r="U12" s="66">
        <f t="shared" si="2"/>
        <v>33800</v>
      </c>
      <c r="V12" s="66">
        <f t="shared" si="3"/>
        <v>50700</v>
      </c>
      <c r="W12" s="62"/>
      <c r="X12" s="137"/>
      <c r="Y12" s="66"/>
      <c r="Z12" s="60">
        <v>33800</v>
      </c>
      <c r="AA12" s="68">
        <v>125000</v>
      </c>
    </row>
    <row r="13" spans="1:27">
      <c r="A13" s="562">
        <f t="shared" si="0"/>
        <v>225</v>
      </c>
      <c r="B13" s="502"/>
      <c r="C13" s="62"/>
      <c r="D13" s="62"/>
      <c r="E13" s="62"/>
      <c r="F13" s="62"/>
      <c r="G13" s="62"/>
      <c r="H13" s="63"/>
      <c r="I13" s="62"/>
      <c r="J13" s="62"/>
      <c r="K13" s="62">
        <f t="shared" ref="K13:K15" si="7">J13</f>
        <v>0</v>
      </c>
      <c r="L13" s="56"/>
      <c r="M13" s="56"/>
      <c r="N13" s="56">
        <f t="shared" si="4"/>
        <v>0</v>
      </c>
      <c r="O13" s="312"/>
      <c r="P13" s="56">
        <f t="shared" si="5"/>
        <v>0</v>
      </c>
      <c r="Q13" s="420"/>
      <c r="R13" s="420"/>
      <c r="S13" s="66"/>
      <c r="T13" s="66">
        <f t="shared" si="6"/>
        <v>0</v>
      </c>
      <c r="U13" s="66">
        <f t="shared" si="2"/>
        <v>0</v>
      </c>
      <c r="V13" s="66">
        <f t="shared" si="3"/>
        <v>0</v>
      </c>
      <c r="W13" s="62"/>
      <c r="X13" s="137"/>
      <c r="Y13" s="66"/>
      <c r="Z13" s="60">
        <v>0</v>
      </c>
      <c r="AA13" s="68">
        <v>0</v>
      </c>
    </row>
    <row r="14" spans="1:27">
      <c r="A14" s="562">
        <f t="shared" si="0"/>
        <v>226</v>
      </c>
      <c r="B14" s="502" t="s">
        <v>501</v>
      </c>
      <c r="C14" s="62"/>
      <c r="D14" s="62">
        <v>9000</v>
      </c>
      <c r="E14" s="62"/>
      <c r="F14" s="62">
        <v>3000</v>
      </c>
      <c r="G14" s="62">
        <v>0</v>
      </c>
      <c r="H14" s="63"/>
      <c r="I14" s="62"/>
      <c r="J14" s="62">
        <v>3000</v>
      </c>
      <c r="K14" s="62">
        <f t="shared" si="7"/>
        <v>3000</v>
      </c>
      <c r="L14" s="56"/>
      <c r="M14" s="56">
        <v>2000</v>
      </c>
      <c r="N14" s="56">
        <f t="shared" si="4"/>
        <v>2000</v>
      </c>
      <c r="O14" s="312"/>
      <c r="P14" s="56">
        <f t="shared" si="5"/>
        <v>2000</v>
      </c>
      <c r="Q14" s="420">
        <v>2000</v>
      </c>
      <c r="R14" s="420"/>
      <c r="S14" s="66">
        <v>2100</v>
      </c>
      <c r="T14" s="66">
        <f t="shared" si="6"/>
        <v>2100</v>
      </c>
      <c r="U14" s="66">
        <f t="shared" si="2"/>
        <v>4100</v>
      </c>
      <c r="V14" s="66">
        <f t="shared" si="3"/>
        <v>6100</v>
      </c>
      <c r="W14" s="62"/>
      <c r="X14" s="137"/>
      <c r="Y14" s="66"/>
      <c r="Z14" s="60">
        <v>4100</v>
      </c>
      <c r="AA14" s="68">
        <v>9000</v>
      </c>
    </row>
    <row r="15" spans="1:27">
      <c r="A15" s="562">
        <f t="shared" si="0"/>
        <v>227</v>
      </c>
      <c r="B15" s="502" t="s">
        <v>502</v>
      </c>
      <c r="C15" s="62"/>
      <c r="D15" s="62">
        <v>24570</v>
      </c>
      <c r="E15" s="62"/>
      <c r="F15" s="62">
        <v>8200</v>
      </c>
      <c r="G15" s="62">
        <v>8200</v>
      </c>
      <c r="H15" s="63"/>
      <c r="I15" s="62"/>
      <c r="J15" s="62">
        <v>8200</v>
      </c>
      <c r="K15" s="62">
        <f t="shared" si="7"/>
        <v>8200</v>
      </c>
      <c r="L15" s="56"/>
      <c r="M15" s="56">
        <v>8200</v>
      </c>
      <c r="N15" s="56">
        <f t="shared" si="4"/>
        <v>8200</v>
      </c>
      <c r="O15" s="312"/>
      <c r="P15" s="56">
        <f t="shared" si="5"/>
        <v>8200</v>
      </c>
      <c r="Q15" s="420">
        <v>8200</v>
      </c>
      <c r="R15" s="420"/>
      <c r="S15" s="66">
        <v>8200</v>
      </c>
      <c r="T15" s="66">
        <f t="shared" si="6"/>
        <v>8200</v>
      </c>
      <c r="U15" s="66">
        <f t="shared" si="2"/>
        <v>16400</v>
      </c>
      <c r="V15" s="66">
        <f t="shared" si="3"/>
        <v>24600</v>
      </c>
      <c r="W15" s="62"/>
      <c r="X15" s="137"/>
      <c r="Y15" s="66"/>
      <c r="Z15" s="60">
        <v>16400</v>
      </c>
      <c r="AA15" s="68">
        <v>24570</v>
      </c>
    </row>
    <row r="16" spans="1:27">
      <c r="A16" s="562">
        <f t="shared" si="0"/>
        <v>228</v>
      </c>
      <c r="B16" s="502" t="s">
        <v>503</v>
      </c>
      <c r="C16" s="62"/>
      <c r="D16" s="62"/>
      <c r="E16" s="62"/>
      <c r="F16" s="62"/>
      <c r="G16" s="62"/>
      <c r="H16" s="63"/>
      <c r="I16" s="62"/>
      <c r="J16" s="62"/>
      <c r="K16" s="62"/>
      <c r="L16" s="56"/>
      <c r="M16" s="56">
        <v>1000</v>
      </c>
      <c r="N16" s="56">
        <f t="shared" si="4"/>
        <v>1000</v>
      </c>
      <c r="O16" s="312"/>
      <c r="P16" s="56">
        <f t="shared" si="5"/>
        <v>1000</v>
      </c>
      <c r="Q16" s="420">
        <v>1050</v>
      </c>
      <c r="R16" s="420"/>
      <c r="S16" s="66">
        <v>1100</v>
      </c>
      <c r="T16" s="66">
        <f t="shared" si="6"/>
        <v>1100</v>
      </c>
      <c r="U16" s="66">
        <f t="shared" si="2"/>
        <v>2150</v>
      </c>
      <c r="V16" s="66">
        <f t="shared" si="3"/>
        <v>3150</v>
      </c>
      <c r="W16" s="62"/>
      <c r="X16" s="137"/>
      <c r="Y16" s="66"/>
      <c r="Z16" s="60">
        <v>2150</v>
      </c>
      <c r="AA16" s="68"/>
    </row>
    <row r="17" spans="1:27">
      <c r="A17" s="562">
        <f t="shared" si="0"/>
        <v>229</v>
      </c>
      <c r="B17" s="502" t="s">
        <v>443</v>
      </c>
      <c r="C17" s="62"/>
      <c r="D17" s="62"/>
      <c r="E17" s="62"/>
      <c r="F17" s="62"/>
      <c r="G17" s="62"/>
      <c r="H17" s="63"/>
      <c r="I17" s="62"/>
      <c r="J17" s="62"/>
      <c r="K17" s="62"/>
      <c r="L17" s="56"/>
      <c r="M17" s="56">
        <v>1000</v>
      </c>
      <c r="N17" s="56">
        <f t="shared" si="4"/>
        <v>1000</v>
      </c>
      <c r="O17" s="312"/>
      <c r="P17" s="56">
        <f t="shared" si="5"/>
        <v>1000</v>
      </c>
      <c r="Q17" s="420">
        <v>1000</v>
      </c>
      <c r="R17" s="420"/>
      <c r="S17" s="66">
        <v>1000</v>
      </c>
      <c r="T17" s="66">
        <f t="shared" si="6"/>
        <v>1000</v>
      </c>
      <c r="U17" s="66">
        <f t="shared" si="2"/>
        <v>2000</v>
      </c>
      <c r="V17" s="66">
        <f t="shared" si="3"/>
        <v>3000</v>
      </c>
      <c r="W17" s="62"/>
      <c r="X17" s="137"/>
      <c r="Y17" s="66"/>
      <c r="Z17" s="60">
        <v>2150</v>
      </c>
      <c r="AA17" s="68"/>
    </row>
    <row r="18" spans="1:27">
      <c r="A18" s="562">
        <f t="shared" si="0"/>
        <v>230</v>
      </c>
      <c r="B18" s="502" t="s">
        <v>504</v>
      </c>
      <c r="C18" s="62"/>
      <c r="D18" s="62"/>
      <c r="E18" s="62"/>
      <c r="F18" s="62"/>
      <c r="G18" s="62"/>
      <c r="H18" s="63"/>
      <c r="I18" s="62"/>
      <c r="J18" s="62"/>
      <c r="K18" s="62"/>
      <c r="L18" s="56"/>
      <c r="M18" s="56">
        <v>500</v>
      </c>
      <c r="N18" s="56">
        <f t="shared" si="4"/>
        <v>500</v>
      </c>
      <c r="O18" s="312"/>
      <c r="P18" s="56">
        <f t="shared" si="5"/>
        <v>500</v>
      </c>
      <c r="Q18" s="420">
        <v>500</v>
      </c>
      <c r="R18" s="420"/>
      <c r="S18" s="66">
        <v>500</v>
      </c>
      <c r="T18" s="66">
        <f t="shared" si="6"/>
        <v>500</v>
      </c>
      <c r="U18" s="66">
        <f t="shared" si="2"/>
        <v>1000</v>
      </c>
      <c r="V18" s="66">
        <f t="shared" si="3"/>
        <v>1500</v>
      </c>
      <c r="W18" s="62"/>
      <c r="X18" s="137"/>
      <c r="Y18" s="66"/>
      <c r="Z18" s="60">
        <v>1000</v>
      </c>
      <c r="AA18" s="68"/>
    </row>
    <row r="19" spans="1:27">
      <c r="A19" s="562" t="s">
        <v>505</v>
      </c>
      <c r="B19" s="502" t="s">
        <v>506</v>
      </c>
      <c r="C19" s="62"/>
      <c r="D19" s="62"/>
      <c r="E19" s="62"/>
      <c r="F19" s="62"/>
      <c r="G19" s="62"/>
      <c r="H19" s="63"/>
      <c r="I19" s="62"/>
      <c r="J19" s="62"/>
      <c r="K19" s="62"/>
      <c r="L19" s="56"/>
      <c r="M19" s="56">
        <v>1000</v>
      </c>
      <c r="N19" s="56">
        <f t="shared" si="4"/>
        <v>1000</v>
      </c>
      <c r="O19" s="312"/>
      <c r="P19" s="56">
        <f t="shared" si="5"/>
        <v>1000</v>
      </c>
      <c r="Q19" s="420">
        <v>1000</v>
      </c>
      <c r="R19" s="420"/>
      <c r="S19" s="66">
        <v>1000</v>
      </c>
      <c r="T19" s="66">
        <f t="shared" si="6"/>
        <v>1000</v>
      </c>
      <c r="U19" s="66">
        <f t="shared" si="2"/>
        <v>2000</v>
      </c>
      <c r="V19" s="66">
        <f t="shared" si="3"/>
        <v>3000</v>
      </c>
      <c r="W19" s="62"/>
      <c r="X19" s="137"/>
      <c r="Y19" s="66"/>
      <c r="Z19" s="60">
        <v>2000</v>
      </c>
      <c r="AA19" s="68"/>
    </row>
    <row r="20" spans="1:27" ht="28.5">
      <c r="A20" s="562" t="s">
        <v>507</v>
      </c>
      <c r="B20" s="502" t="s">
        <v>508</v>
      </c>
      <c r="C20" s="62"/>
      <c r="D20" s="62"/>
      <c r="E20" s="62"/>
      <c r="F20" s="62"/>
      <c r="G20" s="62"/>
      <c r="H20" s="63"/>
      <c r="I20" s="62"/>
      <c r="J20" s="62"/>
      <c r="K20" s="62"/>
      <c r="L20" s="56"/>
      <c r="M20" s="56">
        <v>4500</v>
      </c>
      <c r="N20" s="56">
        <f t="shared" si="4"/>
        <v>4500</v>
      </c>
      <c r="O20" s="312"/>
      <c r="P20" s="56">
        <f t="shared" si="5"/>
        <v>4500</v>
      </c>
      <c r="Q20" s="420">
        <v>0</v>
      </c>
      <c r="R20" s="420"/>
      <c r="S20" s="66">
        <v>0</v>
      </c>
      <c r="T20" s="66">
        <f t="shared" si="6"/>
        <v>0</v>
      </c>
      <c r="U20" s="66">
        <f t="shared" si="2"/>
        <v>0</v>
      </c>
      <c r="V20" s="66">
        <f t="shared" si="3"/>
        <v>4500</v>
      </c>
      <c r="W20" s="62"/>
      <c r="X20" s="137"/>
      <c r="Y20" s="66"/>
      <c r="Z20" s="60">
        <v>1000</v>
      </c>
      <c r="AA20" s="68"/>
    </row>
    <row r="21" spans="1:27">
      <c r="A21" s="562"/>
      <c r="B21" s="502" t="s">
        <v>164</v>
      </c>
      <c r="C21" s="62"/>
      <c r="D21" s="62"/>
      <c r="E21" s="62"/>
      <c r="F21" s="62"/>
      <c r="G21" s="62"/>
      <c r="H21" s="63"/>
      <c r="I21" s="62"/>
      <c r="J21" s="62"/>
      <c r="K21" s="62"/>
      <c r="L21" s="56"/>
      <c r="M21" s="56"/>
      <c r="N21" s="56">
        <f t="shared" si="4"/>
        <v>0</v>
      </c>
      <c r="O21" s="312"/>
      <c r="P21" s="56">
        <f t="shared" si="5"/>
        <v>0</v>
      </c>
      <c r="Q21" s="420">
        <v>0</v>
      </c>
      <c r="R21" s="420"/>
      <c r="S21" s="66"/>
      <c r="T21" s="66">
        <f t="shared" si="6"/>
        <v>0</v>
      </c>
      <c r="U21" s="66">
        <f t="shared" si="2"/>
        <v>0</v>
      </c>
      <c r="V21" s="66">
        <f t="shared" si="3"/>
        <v>0</v>
      </c>
      <c r="W21" s="62"/>
      <c r="X21" s="137"/>
      <c r="Y21" s="587"/>
      <c r="Z21" s="60">
        <v>0</v>
      </c>
      <c r="AA21" s="68"/>
    </row>
    <row r="22" spans="1:27" s="434" customFormat="1">
      <c r="A22" s="588">
        <v>232</v>
      </c>
      <c r="B22" s="589" t="s">
        <v>509</v>
      </c>
      <c r="C22" s="160">
        <f>SUM(C9:C21)</f>
        <v>545570</v>
      </c>
      <c r="D22" s="160">
        <f t="shared" ref="D22:H22" si="8">SUM(D11:D21)</f>
        <v>233570</v>
      </c>
      <c r="E22" s="160">
        <f t="shared" si="8"/>
        <v>0</v>
      </c>
      <c r="F22" s="160">
        <f t="shared" si="8"/>
        <v>61070</v>
      </c>
      <c r="G22" s="160">
        <f t="shared" si="8"/>
        <v>18200</v>
      </c>
      <c r="H22" s="160">
        <f t="shared" si="8"/>
        <v>0</v>
      </c>
      <c r="I22" s="160">
        <f>SUM(I11:I21)</f>
        <v>125000</v>
      </c>
      <c r="J22" s="160">
        <f t="shared" ref="J22:K22" si="9">SUM(J10:J21)</f>
        <v>70900</v>
      </c>
      <c r="K22" s="160">
        <f t="shared" si="9"/>
        <v>195900</v>
      </c>
      <c r="L22" s="386">
        <f>SUM(L11:L21)</f>
        <v>125000</v>
      </c>
      <c r="M22" s="386">
        <f t="shared" ref="M22:N22" si="10">SUM(M11:M21)</f>
        <v>35100</v>
      </c>
      <c r="N22" s="386">
        <f t="shared" si="10"/>
        <v>160100</v>
      </c>
      <c r="O22" s="590"/>
      <c r="P22" s="386">
        <f t="shared" si="5"/>
        <v>160100</v>
      </c>
      <c r="Q22" s="388">
        <f t="shared" ref="Q22:Y22" si="11">SUM(Q11:Q21)</f>
        <v>30650</v>
      </c>
      <c r="R22" s="388">
        <f t="shared" si="11"/>
        <v>25000</v>
      </c>
      <c r="S22" s="388">
        <f t="shared" si="11"/>
        <v>30800</v>
      </c>
      <c r="T22" s="388">
        <f t="shared" si="11"/>
        <v>55800</v>
      </c>
      <c r="U22" s="388">
        <f t="shared" si="11"/>
        <v>86450</v>
      </c>
      <c r="V22" s="388">
        <f t="shared" si="3"/>
        <v>246550</v>
      </c>
      <c r="W22" s="160">
        <f>E22+G22+K22</f>
        <v>214100</v>
      </c>
      <c r="X22" s="389"/>
      <c r="Y22" s="388">
        <f t="shared" si="11"/>
        <v>0</v>
      </c>
      <c r="Z22" s="390">
        <v>187600</v>
      </c>
      <c r="AA22" s="391">
        <f>SUM(AA11:AA21)</f>
        <v>448570</v>
      </c>
    </row>
    <row r="23" spans="1:27">
      <c r="A23" s="562">
        <f t="shared" si="0"/>
        <v>233</v>
      </c>
      <c r="B23" s="502"/>
      <c r="C23" s="62"/>
      <c r="D23" s="62"/>
      <c r="E23" s="62"/>
      <c r="F23" s="62"/>
      <c r="G23" s="62"/>
      <c r="H23" s="63"/>
      <c r="I23" s="62"/>
      <c r="J23" s="62"/>
      <c r="K23" s="62"/>
      <c r="L23" s="56"/>
      <c r="M23" s="56"/>
      <c r="N23" s="56">
        <f t="shared" si="4"/>
        <v>0</v>
      </c>
      <c r="O23" s="312"/>
      <c r="P23" s="56">
        <f t="shared" si="5"/>
        <v>0</v>
      </c>
      <c r="Q23" s="422"/>
      <c r="R23" s="422"/>
      <c r="S23" s="422"/>
      <c r="T23" s="422"/>
      <c r="U23" s="422"/>
      <c r="V23" s="294">
        <f t="shared" si="3"/>
        <v>0</v>
      </c>
      <c r="W23" s="62">
        <f>E23+G23+K23</f>
        <v>0</v>
      </c>
      <c r="X23" s="591"/>
      <c r="Y23" s="422"/>
      <c r="Z23" s="60"/>
      <c r="AA23" s="297"/>
    </row>
    <row r="24" spans="1:27" s="434" customFormat="1" ht="46.15" customHeight="1">
      <c r="A24" s="495">
        <f t="shared" si="0"/>
        <v>234</v>
      </c>
      <c r="B24" s="504" t="s">
        <v>510</v>
      </c>
      <c r="C24" s="577"/>
      <c r="D24" s="577"/>
      <c r="E24" s="577"/>
      <c r="F24" s="577"/>
      <c r="G24" s="577"/>
      <c r="H24" s="63"/>
      <c r="I24" s="577"/>
      <c r="J24" s="577"/>
      <c r="K24" s="577"/>
      <c r="L24" s="578"/>
      <c r="M24" s="578"/>
      <c r="N24" s="578">
        <f t="shared" si="4"/>
        <v>0</v>
      </c>
      <c r="O24" s="312"/>
      <c r="P24" s="578">
        <f t="shared" si="5"/>
        <v>0</v>
      </c>
      <c r="Q24" s="580"/>
      <c r="R24" s="580"/>
      <c r="S24" s="580"/>
      <c r="T24" s="580"/>
      <c r="U24" s="580"/>
      <c r="V24" s="320">
        <f t="shared" si="3"/>
        <v>0</v>
      </c>
      <c r="W24" s="577">
        <f>E24+G24+K24</f>
        <v>0</v>
      </c>
      <c r="X24" s="592"/>
      <c r="Y24" s="580"/>
      <c r="Z24" s="582"/>
      <c r="AA24" s="321"/>
    </row>
    <row r="25" spans="1:27">
      <c r="A25" s="562">
        <f t="shared" si="0"/>
        <v>235</v>
      </c>
      <c r="B25" s="502" t="s">
        <v>511</v>
      </c>
      <c r="C25" s="62"/>
      <c r="D25" s="62">
        <v>90000</v>
      </c>
      <c r="E25" s="62"/>
      <c r="F25" s="62">
        <v>10000</v>
      </c>
      <c r="G25" s="62">
        <v>5000</v>
      </c>
      <c r="H25" s="63"/>
      <c r="I25" s="62"/>
      <c r="J25" s="62">
        <v>10000</v>
      </c>
      <c r="K25" s="62">
        <f>J25</f>
        <v>10000</v>
      </c>
      <c r="L25" s="56"/>
      <c r="M25" s="56">
        <v>10000</v>
      </c>
      <c r="N25" s="56">
        <f t="shared" si="4"/>
        <v>10000</v>
      </c>
      <c r="O25" s="312"/>
      <c r="P25" s="56">
        <f t="shared" si="5"/>
        <v>10000</v>
      </c>
      <c r="Q25" s="584">
        <v>0</v>
      </c>
      <c r="R25" s="420"/>
      <c r="S25" s="586">
        <v>0</v>
      </c>
      <c r="T25" s="66">
        <f t="shared" ref="T25:T34" si="12">R25+S25</f>
        <v>0</v>
      </c>
      <c r="U25" s="66">
        <f t="shared" ref="U25:U34" si="13">Q25+T25</f>
        <v>0</v>
      </c>
      <c r="V25" s="66">
        <f t="shared" si="3"/>
        <v>10000</v>
      </c>
      <c r="W25" s="62"/>
      <c r="X25" s="423" t="s">
        <v>512</v>
      </c>
      <c r="Y25" s="422"/>
      <c r="Z25" s="60">
        <v>20000</v>
      </c>
      <c r="AA25" s="68">
        <v>30000</v>
      </c>
    </row>
    <row r="26" spans="1:27" ht="28.5">
      <c r="A26" s="562">
        <f t="shared" si="0"/>
        <v>236</v>
      </c>
      <c r="B26" s="502" t="s">
        <v>497</v>
      </c>
      <c r="C26" s="62"/>
      <c r="D26" s="62">
        <v>8000</v>
      </c>
      <c r="E26" s="62"/>
      <c r="F26" s="62"/>
      <c r="G26" s="62"/>
      <c r="H26" s="63"/>
      <c r="I26" s="62">
        <v>35500</v>
      </c>
      <c r="J26" s="62"/>
      <c r="K26" s="62">
        <v>35500</v>
      </c>
      <c r="L26" s="56">
        <v>35500</v>
      </c>
      <c r="M26" s="56"/>
      <c r="N26" s="56">
        <f t="shared" si="4"/>
        <v>35500</v>
      </c>
      <c r="O26" s="312"/>
      <c r="P26" s="56">
        <f t="shared" si="5"/>
        <v>35500</v>
      </c>
      <c r="Q26" s="584"/>
      <c r="R26" s="584">
        <v>9500</v>
      </c>
      <c r="S26" s="586"/>
      <c r="T26" s="586">
        <v>9500</v>
      </c>
      <c r="U26" s="66">
        <f t="shared" si="13"/>
        <v>9500</v>
      </c>
      <c r="V26" s="66">
        <f t="shared" si="3"/>
        <v>45000</v>
      </c>
      <c r="W26" s="62"/>
      <c r="X26" s="423" t="s">
        <v>513</v>
      </c>
      <c r="Y26" s="422"/>
      <c r="Z26" s="60">
        <v>35500</v>
      </c>
      <c r="AA26" s="68">
        <v>8000</v>
      </c>
    </row>
    <row r="27" spans="1:27">
      <c r="A27" s="593">
        <f>A26+1</f>
        <v>237</v>
      </c>
      <c r="B27" s="594" t="s">
        <v>499</v>
      </c>
      <c r="C27" s="62"/>
      <c r="D27" s="62">
        <v>30000</v>
      </c>
      <c r="E27" s="62"/>
      <c r="F27" s="62">
        <v>20000</v>
      </c>
      <c r="G27" s="62">
        <v>20000</v>
      </c>
      <c r="H27" s="63"/>
      <c r="I27" s="62"/>
      <c r="J27" s="62">
        <v>20000</v>
      </c>
      <c r="K27" s="62">
        <f>J27</f>
        <v>20000</v>
      </c>
      <c r="L27" s="56"/>
      <c r="M27" s="56">
        <v>20000</v>
      </c>
      <c r="N27" s="56">
        <f t="shared" si="4"/>
        <v>20000</v>
      </c>
      <c r="O27" s="312"/>
      <c r="P27" s="56">
        <f t="shared" si="5"/>
        <v>20000</v>
      </c>
      <c r="Q27" s="584">
        <v>20000</v>
      </c>
      <c r="R27" s="420"/>
      <c r="S27" s="66">
        <v>20000</v>
      </c>
      <c r="T27" s="66">
        <f t="shared" si="12"/>
        <v>20000</v>
      </c>
      <c r="U27" s="66">
        <f t="shared" si="13"/>
        <v>40000</v>
      </c>
      <c r="V27" s="66">
        <f t="shared" si="3"/>
        <v>60000</v>
      </c>
      <c r="W27" s="62"/>
      <c r="X27" s="423"/>
      <c r="Y27" s="422"/>
      <c r="Z27" s="60">
        <v>40000</v>
      </c>
      <c r="AA27" s="68">
        <v>45000</v>
      </c>
    </row>
    <row r="28" spans="1:27">
      <c r="A28" s="593">
        <f t="shared" si="0"/>
        <v>238</v>
      </c>
      <c r="B28" s="594" t="s">
        <v>514</v>
      </c>
      <c r="C28" s="62"/>
      <c r="D28" s="62">
        <v>23000</v>
      </c>
      <c r="E28" s="62"/>
      <c r="F28" s="62">
        <v>5000</v>
      </c>
      <c r="G28" s="62">
        <v>5000</v>
      </c>
      <c r="H28" s="63"/>
      <c r="I28" s="62"/>
      <c r="J28" s="62">
        <v>5000</v>
      </c>
      <c r="K28" s="62">
        <f t="shared" ref="K28:K34" si="14">J28</f>
        <v>5000</v>
      </c>
      <c r="L28" s="56"/>
      <c r="M28" s="56">
        <v>5000</v>
      </c>
      <c r="N28" s="56">
        <f t="shared" si="4"/>
        <v>5000</v>
      </c>
      <c r="O28" s="312"/>
      <c r="P28" s="56">
        <f t="shared" si="5"/>
        <v>5000</v>
      </c>
      <c r="Q28" s="584">
        <v>5000</v>
      </c>
      <c r="R28" s="420"/>
      <c r="S28" s="66">
        <v>5000</v>
      </c>
      <c r="T28" s="66">
        <f t="shared" si="12"/>
        <v>5000</v>
      </c>
      <c r="U28" s="66">
        <f t="shared" si="13"/>
        <v>10000</v>
      </c>
      <c r="V28" s="66">
        <f t="shared" si="3"/>
        <v>15000</v>
      </c>
      <c r="W28" s="62"/>
      <c r="X28" s="423"/>
      <c r="Y28" s="422"/>
      <c r="Z28" s="60">
        <v>10000</v>
      </c>
      <c r="AA28" s="68">
        <v>15000</v>
      </c>
    </row>
    <row r="29" spans="1:27" ht="18" customHeight="1">
      <c r="A29" s="593">
        <f t="shared" si="0"/>
        <v>239</v>
      </c>
      <c r="B29" s="594" t="s">
        <v>443</v>
      </c>
      <c r="C29" s="62"/>
      <c r="D29" s="62">
        <v>26000</v>
      </c>
      <c r="E29" s="62"/>
      <c r="F29" s="62">
        <v>7000</v>
      </c>
      <c r="G29" s="62">
        <v>2000</v>
      </c>
      <c r="H29" s="63" t="s">
        <v>515</v>
      </c>
      <c r="I29" s="62"/>
      <c r="J29" s="62">
        <v>7000</v>
      </c>
      <c r="K29" s="62">
        <f t="shared" si="14"/>
        <v>7000</v>
      </c>
      <c r="L29" s="56"/>
      <c r="M29" s="56">
        <f>7000*0.9</f>
        <v>6300</v>
      </c>
      <c r="N29" s="56">
        <f t="shared" si="4"/>
        <v>6300</v>
      </c>
      <c r="O29" s="312" t="s">
        <v>516</v>
      </c>
      <c r="P29" s="56">
        <f t="shared" si="5"/>
        <v>6300</v>
      </c>
      <c r="Q29" s="584">
        <v>1000</v>
      </c>
      <c r="R29" s="420"/>
      <c r="S29" s="586">
        <v>1000</v>
      </c>
      <c r="T29" s="66">
        <f t="shared" si="12"/>
        <v>1000</v>
      </c>
      <c r="U29" s="66">
        <f t="shared" si="13"/>
        <v>2000</v>
      </c>
      <c r="V29" s="66">
        <f t="shared" si="3"/>
        <v>8300</v>
      </c>
      <c r="W29" s="62"/>
      <c r="X29" s="423" t="s">
        <v>517</v>
      </c>
      <c r="Y29" s="422"/>
      <c r="Z29" s="60">
        <v>12600</v>
      </c>
      <c r="AA29" s="68">
        <v>21000</v>
      </c>
    </row>
    <row r="30" spans="1:27">
      <c r="A30" s="593">
        <f t="shared" si="0"/>
        <v>240</v>
      </c>
      <c r="B30" s="594" t="s">
        <v>501</v>
      </c>
      <c r="C30" s="62"/>
      <c r="D30" s="62">
        <v>9000</v>
      </c>
      <c r="E30" s="62"/>
      <c r="F30" s="62">
        <v>3000</v>
      </c>
      <c r="G30" s="62">
        <v>0</v>
      </c>
      <c r="H30" s="63"/>
      <c r="I30" s="62"/>
      <c r="J30" s="62">
        <v>3000</v>
      </c>
      <c r="K30" s="62">
        <f t="shared" si="14"/>
        <v>3000</v>
      </c>
      <c r="L30" s="56"/>
      <c r="M30" s="56">
        <v>3000</v>
      </c>
      <c r="N30" s="56">
        <f t="shared" si="4"/>
        <v>3000</v>
      </c>
      <c r="O30" s="312"/>
      <c r="P30" s="56">
        <f t="shared" si="5"/>
        <v>3000</v>
      </c>
      <c r="Q30" s="584">
        <v>3000</v>
      </c>
      <c r="R30" s="420"/>
      <c r="S30" s="66">
        <v>3000</v>
      </c>
      <c r="T30" s="66">
        <f t="shared" si="12"/>
        <v>3000</v>
      </c>
      <c r="U30" s="66">
        <f t="shared" si="13"/>
        <v>6000</v>
      </c>
      <c r="V30" s="66">
        <f t="shared" si="3"/>
        <v>9000</v>
      </c>
      <c r="W30" s="62"/>
      <c r="X30" s="423"/>
      <c r="Y30" s="422"/>
      <c r="Z30" s="60">
        <v>6000</v>
      </c>
      <c r="AA30" s="68">
        <v>9000</v>
      </c>
    </row>
    <row r="31" spans="1:27">
      <c r="A31" s="593">
        <f t="shared" si="0"/>
        <v>241</v>
      </c>
      <c r="B31" s="594" t="s">
        <v>503</v>
      </c>
      <c r="C31" s="62"/>
      <c r="D31" s="62">
        <v>6000</v>
      </c>
      <c r="E31" s="62"/>
      <c r="F31" s="62">
        <v>2000</v>
      </c>
      <c r="G31" s="62">
        <v>2000</v>
      </c>
      <c r="H31" s="63"/>
      <c r="I31" s="62"/>
      <c r="J31" s="62">
        <v>2000</v>
      </c>
      <c r="K31" s="62">
        <f t="shared" si="14"/>
        <v>2000</v>
      </c>
      <c r="L31" s="56"/>
      <c r="M31" s="56">
        <v>2000</v>
      </c>
      <c r="N31" s="56">
        <f t="shared" si="4"/>
        <v>2000</v>
      </c>
      <c r="O31" s="312"/>
      <c r="P31" s="56">
        <f t="shared" si="5"/>
        <v>2000</v>
      </c>
      <c r="Q31" s="584">
        <v>2000</v>
      </c>
      <c r="R31" s="420"/>
      <c r="S31" s="66">
        <v>2000</v>
      </c>
      <c r="T31" s="66">
        <f t="shared" si="12"/>
        <v>2000</v>
      </c>
      <c r="U31" s="66">
        <f t="shared" si="13"/>
        <v>4000</v>
      </c>
      <c r="V31" s="66">
        <f t="shared" si="3"/>
        <v>6000</v>
      </c>
      <c r="W31" s="62"/>
      <c r="X31" s="423"/>
      <c r="Y31" s="422"/>
      <c r="Z31" s="60">
        <v>4000</v>
      </c>
      <c r="AA31" s="68">
        <v>6000</v>
      </c>
    </row>
    <row r="32" spans="1:27">
      <c r="A32" s="593">
        <f t="shared" si="0"/>
        <v>242</v>
      </c>
      <c r="B32" s="594" t="s">
        <v>518</v>
      </c>
      <c r="C32" s="62"/>
      <c r="D32" s="62">
        <v>2400</v>
      </c>
      <c r="E32" s="62"/>
      <c r="F32" s="62">
        <v>700</v>
      </c>
      <c r="G32" s="62">
        <v>700</v>
      </c>
      <c r="H32" s="63"/>
      <c r="I32" s="62"/>
      <c r="J32" s="62">
        <v>1000</v>
      </c>
      <c r="K32" s="62">
        <f t="shared" si="14"/>
        <v>1000</v>
      </c>
      <c r="L32" s="56"/>
      <c r="M32" s="56">
        <v>1000</v>
      </c>
      <c r="N32" s="56">
        <f t="shared" si="4"/>
        <v>1000</v>
      </c>
      <c r="O32" s="312"/>
      <c r="P32" s="56">
        <f t="shared" si="5"/>
        <v>1000</v>
      </c>
      <c r="Q32" s="584">
        <v>1000</v>
      </c>
      <c r="R32" s="420"/>
      <c r="S32" s="66">
        <v>1000</v>
      </c>
      <c r="T32" s="66">
        <f t="shared" si="12"/>
        <v>1000</v>
      </c>
      <c r="U32" s="66">
        <f t="shared" si="13"/>
        <v>2000</v>
      </c>
      <c r="V32" s="66">
        <f t="shared" si="3"/>
        <v>3000</v>
      </c>
      <c r="W32" s="62"/>
      <c r="X32" s="423"/>
      <c r="Y32" s="422"/>
      <c r="Z32" s="60">
        <v>2000</v>
      </c>
      <c r="AA32" s="68">
        <v>2400</v>
      </c>
    </row>
    <row r="33" spans="1:27">
      <c r="A33" s="593">
        <f t="shared" si="0"/>
        <v>243</v>
      </c>
      <c r="B33" s="594" t="s">
        <v>519</v>
      </c>
      <c r="C33" s="62"/>
      <c r="D33" s="62">
        <v>10500</v>
      </c>
      <c r="E33" s="62"/>
      <c r="F33" s="62">
        <v>3500</v>
      </c>
      <c r="G33" s="62">
        <v>3500</v>
      </c>
      <c r="H33" s="63"/>
      <c r="I33" s="62"/>
      <c r="J33" s="62">
        <v>3500</v>
      </c>
      <c r="K33" s="62">
        <f t="shared" si="14"/>
        <v>3500</v>
      </c>
      <c r="L33" s="56"/>
      <c r="M33" s="56">
        <v>3500</v>
      </c>
      <c r="N33" s="56">
        <f t="shared" si="4"/>
        <v>3500</v>
      </c>
      <c r="O33" s="312"/>
      <c r="P33" s="56">
        <f t="shared" si="5"/>
        <v>3500</v>
      </c>
      <c r="Q33" s="584">
        <v>3500</v>
      </c>
      <c r="R33" s="420"/>
      <c r="S33" s="66">
        <v>3500</v>
      </c>
      <c r="T33" s="66">
        <f t="shared" si="12"/>
        <v>3500</v>
      </c>
      <c r="U33" s="66">
        <f t="shared" si="13"/>
        <v>7000</v>
      </c>
      <c r="V33" s="66">
        <f t="shared" si="3"/>
        <v>10500</v>
      </c>
      <c r="W33" s="62"/>
      <c r="X33" s="423"/>
      <c r="Y33" s="422"/>
      <c r="Z33" s="60">
        <v>7000</v>
      </c>
      <c r="AA33" s="68">
        <v>10500</v>
      </c>
    </row>
    <row r="34" spans="1:27">
      <c r="A34" s="562">
        <f t="shared" si="0"/>
        <v>244</v>
      </c>
      <c r="B34" s="502" t="s">
        <v>520</v>
      </c>
      <c r="C34" s="62"/>
      <c r="D34" s="62">
        <v>9000</v>
      </c>
      <c r="E34" s="62"/>
      <c r="F34" s="62">
        <v>1500</v>
      </c>
      <c r="G34" s="62">
        <v>1500</v>
      </c>
      <c r="H34" s="63"/>
      <c r="I34" s="62"/>
      <c r="J34" s="62">
        <v>2000</v>
      </c>
      <c r="K34" s="62">
        <f t="shared" si="14"/>
        <v>2000</v>
      </c>
      <c r="L34" s="56"/>
      <c r="M34" s="56">
        <v>2000</v>
      </c>
      <c r="N34" s="56">
        <f t="shared" si="4"/>
        <v>2000</v>
      </c>
      <c r="O34" s="312"/>
      <c r="P34" s="56">
        <f t="shared" si="5"/>
        <v>2000</v>
      </c>
      <c r="Q34" s="584">
        <v>2000</v>
      </c>
      <c r="R34" s="420"/>
      <c r="S34" s="66">
        <v>2000</v>
      </c>
      <c r="T34" s="66">
        <f t="shared" si="12"/>
        <v>2000</v>
      </c>
      <c r="U34" s="66">
        <f t="shared" si="13"/>
        <v>4000</v>
      </c>
      <c r="V34" s="66">
        <f t="shared" si="3"/>
        <v>6000</v>
      </c>
      <c r="W34" s="62"/>
      <c r="X34" s="423"/>
      <c r="Y34" s="422"/>
      <c r="Z34" s="60">
        <v>4000</v>
      </c>
      <c r="AA34" s="68">
        <v>9000</v>
      </c>
    </row>
    <row r="35" spans="1:27" s="434" customFormat="1">
      <c r="A35" s="588">
        <f t="shared" si="0"/>
        <v>245</v>
      </c>
      <c r="B35" s="589" t="s">
        <v>521</v>
      </c>
      <c r="C35" s="160"/>
      <c r="D35" s="160">
        <v>213900</v>
      </c>
      <c r="E35" s="160">
        <f>26096+1431</f>
        <v>27527</v>
      </c>
      <c r="F35" s="160">
        <f>SUM(F25:F34)</f>
        <v>52700</v>
      </c>
      <c r="G35" s="160">
        <f>SUM(G25:G34)</f>
        <v>39700</v>
      </c>
      <c r="H35" s="83"/>
      <c r="I35" s="160">
        <f t="shared" ref="I35:N35" si="15">SUM(I25:I34)</f>
        <v>35500</v>
      </c>
      <c r="J35" s="160">
        <f t="shared" si="15"/>
        <v>53500</v>
      </c>
      <c r="K35" s="160">
        <f t="shared" si="15"/>
        <v>89000</v>
      </c>
      <c r="L35" s="386">
        <f t="shared" si="15"/>
        <v>35500</v>
      </c>
      <c r="M35" s="386">
        <f t="shared" si="15"/>
        <v>52800</v>
      </c>
      <c r="N35" s="386">
        <f t="shared" si="15"/>
        <v>88300</v>
      </c>
      <c r="O35" s="590"/>
      <c r="P35" s="386">
        <f t="shared" si="5"/>
        <v>88300</v>
      </c>
      <c r="Q35" s="388">
        <f t="shared" ref="Q35:Y35" si="16">SUM(Q25:Q34)</f>
        <v>37500</v>
      </c>
      <c r="R35" s="388">
        <f t="shared" si="16"/>
        <v>9500</v>
      </c>
      <c r="S35" s="388">
        <f t="shared" si="16"/>
        <v>37500</v>
      </c>
      <c r="T35" s="388">
        <f t="shared" si="16"/>
        <v>47000</v>
      </c>
      <c r="U35" s="388">
        <f t="shared" si="16"/>
        <v>84500</v>
      </c>
      <c r="V35" s="388">
        <f t="shared" si="3"/>
        <v>172800</v>
      </c>
      <c r="W35" s="160">
        <f>E35+G35+K35</f>
        <v>156227</v>
      </c>
      <c r="X35" s="389">
        <v>0</v>
      </c>
      <c r="Y35" s="388">
        <f t="shared" si="16"/>
        <v>0</v>
      </c>
      <c r="Z35" s="390">
        <v>141100</v>
      </c>
      <c r="AA35" s="391">
        <v>155900</v>
      </c>
    </row>
    <row r="36" spans="1:27" s="434" customFormat="1">
      <c r="A36" s="495"/>
      <c r="B36" s="504"/>
      <c r="C36" s="577"/>
      <c r="D36" s="577"/>
      <c r="E36" s="577"/>
      <c r="F36" s="577"/>
      <c r="G36" s="577"/>
      <c r="H36" s="63"/>
      <c r="I36" s="577"/>
      <c r="J36" s="577"/>
      <c r="K36" s="577"/>
      <c r="L36" s="578"/>
      <c r="M36" s="578"/>
      <c r="N36" s="578">
        <f t="shared" si="4"/>
        <v>0</v>
      </c>
      <c r="O36" s="595"/>
      <c r="P36" s="578">
        <f t="shared" si="5"/>
        <v>0</v>
      </c>
      <c r="Q36" s="420">
        <v>0</v>
      </c>
      <c r="R36" s="420"/>
      <c r="S36" s="66"/>
      <c r="T36" s="580"/>
      <c r="U36" s="580"/>
      <c r="V36" s="320">
        <f t="shared" si="3"/>
        <v>0</v>
      </c>
      <c r="W36" s="577"/>
      <c r="X36" s="581"/>
      <c r="Y36" s="580"/>
      <c r="Z36" s="582"/>
      <c r="AA36" s="321"/>
    </row>
    <row r="37" spans="1:27">
      <c r="A37" s="562">
        <f>A35+1</f>
        <v>246</v>
      </c>
      <c r="B37" s="502"/>
      <c r="C37" s="62"/>
      <c r="D37" s="62">
        <v>0</v>
      </c>
      <c r="E37" s="62"/>
      <c r="F37" s="62"/>
      <c r="G37" s="62"/>
      <c r="H37" s="63"/>
      <c r="I37" s="62"/>
      <c r="J37" s="62"/>
      <c r="K37" s="62"/>
      <c r="L37" s="56"/>
      <c r="M37" s="56"/>
      <c r="N37" s="56">
        <f t="shared" si="4"/>
        <v>0</v>
      </c>
      <c r="O37" s="312"/>
      <c r="P37" s="56">
        <f t="shared" si="5"/>
        <v>0</v>
      </c>
      <c r="Q37" s="422"/>
      <c r="R37" s="422"/>
      <c r="S37" s="422"/>
      <c r="T37" s="422"/>
      <c r="U37" s="422"/>
      <c r="V37" s="294">
        <f t="shared" si="3"/>
        <v>0</v>
      </c>
      <c r="W37" s="62"/>
      <c r="X37" s="423"/>
      <c r="Y37" s="422"/>
      <c r="Z37" s="60"/>
      <c r="AA37" s="297"/>
    </row>
    <row r="38" spans="1:27" ht="20.95" customHeight="1">
      <c r="A38" s="495">
        <f t="shared" si="0"/>
        <v>247</v>
      </c>
      <c r="B38" s="504" t="s">
        <v>522</v>
      </c>
      <c r="C38" s="62">
        <v>627750</v>
      </c>
      <c r="D38" s="62">
        <v>0</v>
      </c>
      <c r="E38" s="62"/>
      <c r="F38" s="62"/>
      <c r="G38" s="62"/>
      <c r="H38" s="63" t="s">
        <v>523</v>
      </c>
      <c r="I38" s="62"/>
      <c r="J38" s="62"/>
      <c r="K38" s="62"/>
      <c r="L38" s="56"/>
      <c r="M38" s="56"/>
      <c r="N38" s="56">
        <f t="shared" si="4"/>
        <v>0</v>
      </c>
      <c r="O38" s="312"/>
      <c r="P38" s="56">
        <f t="shared" si="5"/>
        <v>0</v>
      </c>
      <c r="Q38" s="422"/>
      <c r="R38" s="422"/>
      <c r="S38" s="422"/>
      <c r="T38" s="422"/>
      <c r="U38" s="422"/>
      <c r="V38" s="294">
        <f t="shared" si="3"/>
        <v>0</v>
      </c>
      <c r="W38" s="62"/>
      <c r="X38" s="423"/>
      <c r="Y38" s="422"/>
      <c r="Z38" s="60"/>
      <c r="AA38" s="297"/>
    </row>
    <row r="39" spans="1:27">
      <c r="A39" s="562">
        <f t="shared" si="0"/>
        <v>248</v>
      </c>
      <c r="B39" s="502" t="s">
        <v>497</v>
      </c>
      <c r="C39" s="62"/>
      <c r="D39" s="62">
        <v>87000</v>
      </c>
      <c r="E39" s="62"/>
      <c r="F39" s="62">
        <v>0</v>
      </c>
      <c r="G39" s="62">
        <v>0</v>
      </c>
      <c r="H39" s="63"/>
      <c r="I39" s="62">
        <v>191000</v>
      </c>
      <c r="J39" s="62"/>
      <c r="K39" s="62">
        <f>I39</f>
        <v>191000</v>
      </c>
      <c r="L39" s="56">
        <v>191000</v>
      </c>
      <c r="M39" s="56"/>
      <c r="N39" s="56">
        <f t="shared" si="4"/>
        <v>191000</v>
      </c>
      <c r="O39" s="312"/>
      <c r="P39" s="56">
        <f t="shared" si="5"/>
        <v>191000</v>
      </c>
      <c r="Q39" s="420"/>
      <c r="R39" s="420">
        <v>191000</v>
      </c>
      <c r="S39" s="66"/>
      <c r="T39" s="66">
        <f t="shared" ref="T39:T48" si="17">R39+S39</f>
        <v>191000</v>
      </c>
      <c r="U39" s="66">
        <f t="shared" ref="U39:U48" si="18">Q39+T39</f>
        <v>191000</v>
      </c>
      <c r="V39" s="66">
        <f t="shared" si="3"/>
        <v>382000</v>
      </c>
      <c r="W39" s="62"/>
      <c r="X39" s="423"/>
      <c r="Y39" s="422"/>
      <c r="Z39" s="60">
        <v>191000</v>
      </c>
      <c r="AA39" s="68">
        <v>87000</v>
      </c>
    </row>
    <row r="40" spans="1:27" ht="36" customHeight="1">
      <c r="A40" s="593">
        <f t="shared" si="0"/>
        <v>249</v>
      </c>
      <c r="B40" s="594" t="s">
        <v>280</v>
      </c>
      <c r="C40" s="62"/>
      <c r="D40" s="62">
        <v>375000</v>
      </c>
      <c r="E40" s="62"/>
      <c r="F40" s="62">
        <f>125000-((11/12)*27500)</f>
        <v>99791.666666666672</v>
      </c>
      <c r="G40" s="62">
        <v>61528</v>
      </c>
      <c r="H40" s="63" t="s">
        <v>524</v>
      </c>
      <c r="I40" s="62"/>
      <c r="J40" s="62">
        <v>97500</v>
      </c>
      <c r="K40" s="62">
        <f>J40</f>
        <v>97500</v>
      </c>
      <c r="L40" s="56"/>
      <c r="M40" s="56">
        <v>107250</v>
      </c>
      <c r="N40" s="56">
        <f t="shared" si="4"/>
        <v>107250</v>
      </c>
      <c r="O40" s="312" t="s">
        <v>525</v>
      </c>
      <c r="P40" s="56">
        <f t="shared" si="5"/>
        <v>107250</v>
      </c>
      <c r="Q40" s="584">
        <v>113800</v>
      </c>
      <c r="R40" s="420"/>
      <c r="S40" s="584">
        <v>128025</v>
      </c>
      <c r="T40" s="586">
        <v>113800</v>
      </c>
      <c r="U40" s="66">
        <f t="shared" si="18"/>
        <v>227600</v>
      </c>
      <c r="V40" s="66">
        <f t="shared" si="3"/>
        <v>334850</v>
      </c>
      <c r="W40" s="62"/>
      <c r="X40" s="423" t="s">
        <v>526</v>
      </c>
      <c r="Y40" s="422"/>
      <c r="Z40" s="60">
        <v>284500</v>
      </c>
      <c r="AA40" s="68">
        <v>375000</v>
      </c>
    </row>
    <row r="41" spans="1:27" ht="33.75" customHeight="1">
      <c r="A41" s="593">
        <f t="shared" si="0"/>
        <v>250</v>
      </c>
      <c r="B41" s="594" t="s">
        <v>443</v>
      </c>
      <c r="C41" s="62"/>
      <c r="D41" s="62">
        <v>150000</v>
      </c>
      <c r="E41" s="62"/>
      <c r="F41" s="62">
        <v>50000</v>
      </c>
      <c r="G41" s="62">
        <v>27350</v>
      </c>
      <c r="H41" s="63" t="s">
        <v>177</v>
      </c>
      <c r="I41" s="62"/>
      <c r="J41" s="62">
        <v>50000</v>
      </c>
      <c r="K41" s="62">
        <f t="shared" ref="K41:K47" si="19">J41</f>
        <v>50000</v>
      </c>
      <c r="L41" s="56"/>
      <c r="M41" s="56">
        <v>60000</v>
      </c>
      <c r="N41" s="56">
        <v>55000</v>
      </c>
      <c r="O41" s="312"/>
      <c r="P41" s="56">
        <f t="shared" si="5"/>
        <v>55000</v>
      </c>
      <c r="Q41" s="584">
        <v>41250</v>
      </c>
      <c r="R41" s="420"/>
      <c r="S41" s="584">
        <v>47000</v>
      </c>
      <c r="T41" s="586">
        <v>41250</v>
      </c>
      <c r="U41" s="66">
        <f t="shared" si="18"/>
        <v>82500</v>
      </c>
      <c r="V41" s="66">
        <f t="shared" si="3"/>
        <v>137500</v>
      </c>
      <c r="W41" s="62"/>
      <c r="X41" s="423" t="s">
        <v>527</v>
      </c>
      <c r="Y41" s="422"/>
      <c r="Z41" s="60">
        <v>120000</v>
      </c>
      <c r="AA41" s="68">
        <v>150000</v>
      </c>
    </row>
    <row r="42" spans="1:27">
      <c r="A42" s="593">
        <f t="shared" si="0"/>
        <v>251</v>
      </c>
      <c r="B42" s="594" t="s">
        <v>528</v>
      </c>
      <c r="C42" s="62"/>
      <c r="D42" s="62">
        <v>6000</v>
      </c>
      <c r="E42" s="62"/>
      <c r="F42" s="62">
        <v>2000</v>
      </c>
      <c r="G42" s="62">
        <v>0</v>
      </c>
      <c r="H42" s="63"/>
      <c r="I42" s="62"/>
      <c r="J42" s="62">
        <v>2000</v>
      </c>
      <c r="K42" s="62">
        <f t="shared" si="19"/>
        <v>2000</v>
      </c>
      <c r="L42" s="56"/>
      <c r="M42" s="56">
        <v>2000</v>
      </c>
      <c r="N42" s="56">
        <f t="shared" si="4"/>
        <v>2000</v>
      </c>
      <c r="O42" s="312"/>
      <c r="P42" s="56">
        <f t="shared" si="5"/>
        <v>2000</v>
      </c>
      <c r="Q42" s="420">
        <v>2000</v>
      </c>
      <c r="R42" s="420"/>
      <c r="S42" s="66">
        <v>2000</v>
      </c>
      <c r="T42" s="66">
        <f t="shared" si="17"/>
        <v>2000</v>
      </c>
      <c r="U42" s="66">
        <f t="shared" si="18"/>
        <v>4000</v>
      </c>
      <c r="V42" s="66">
        <f t="shared" si="3"/>
        <v>6000</v>
      </c>
      <c r="W42" s="62"/>
      <c r="X42" s="423"/>
      <c r="Y42" s="422"/>
      <c r="Z42" s="60">
        <v>4000</v>
      </c>
      <c r="AA42" s="68">
        <v>6000</v>
      </c>
    </row>
    <row r="43" spans="1:27">
      <c r="A43" s="593">
        <f t="shared" si="0"/>
        <v>252</v>
      </c>
      <c r="B43" s="594" t="s">
        <v>529</v>
      </c>
      <c r="C43" s="62"/>
      <c r="D43" s="62">
        <v>30000</v>
      </c>
      <c r="E43" s="62"/>
      <c r="F43" s="62">
        <v>10000</v>
      </c>
      <c r="G43" s="62">
        <v>10000</v>
      </c>
      <c r="H43" s="63"/>
      <c r="I43" s="62"/>
      <c r="J43" s="62">
        <v>10000</v>
      </c>
      <c r="K43" s="62">
        <f t="shared" si="19"/>
        <v>10000</v>
      </c>
      <c r="L43" s="56"/>
      <c r="M43" s="56">
        <v>10000</v>
      </c>
      <c r="N43" s="56">
        <f t="shared" si="4"/>
        <v>10000</v>
      </c>
      <c r="O43" s="312"/>
      <c r="P43" s="56">
        <f t="shared" si="5"/>
        <v>10000</v>
      </c>
      <c r="Q43" s="420">
        <v>10000</v>
      </c>
      <c r="R43" s="420"/>
      <c r="S43" s="66">
        <v>10000</v>
      </c>
      <c r="T43" s="66">
        <f t="shared" si="17"/>
        <v>10000</v>
      </c>
      <c r="U43" s="66">
        <f t="shared" si="18"/>
        <v>20000</v>
      </c>
      <c r="V43" s="66">
        <f t="shared" si="3"/>
        <v>30000</v>
      </c>
      <c r="W43" s="62"/>
      <c r="X43" s="423"/>
      <c r="Y43" s="422"/>
      <c r="Z43" s="60">
        <v>20000</v>
      </c>
      <c r="AA43" s="68">
        <v>30000</v>
      </c>
    </row>
    <row r="44" spans="1:27">
      <c r="A44" s="593">
        <f t="shared" si="0"/>
        <v>253</v>
      </c>
      <c r="B44" s="594" t="s">
        <v>530</v>
      </c>
      <c r="C44" s="62"/>
      <c r="D44" s="62">
        <v>47750</v>
      </c>
      <c r="E44" s="62"/>
      <c r="F44" s="62">
        <v>21000</v>
      </c>
      <c r="G44" s="62">
        <v>21000</v>
      </c>
      <c r="H44" s="63"/>
      <c r="I44" s="62"/>
      <c r="J44" s="62">
        <v>26750</v>
      </c>
      <c r="K44" s="62">
        <f t="shared" si="19"/>
        <v>26750</v>
      </c>
      <c r="L44" s="56"/>
      <c r="M44" s="56">
        <v>25000</v>
      </c>
      <c r="N44" s="56">
        <f t="shared" si="4"/>
        <v>25000</v>
      </c>
      <c r="O44" s="312"/>
      <c r="P44" s="56">
        <f t="shared" si="5"/>
        <v>25000</v>
      </c>
      <c r="Q44" s="584">
        <v>12500</v>
      </c>
      <c r="R44" s="420"/>
      <c r="S44" s="586">
        <v>12500</v>
      </c>
      <c r="T44" s="66">
        <f t="shared" si="17"/>
        <v>12500</v>
      </c>
      <c r="U44" s="66">
        <f t="shared" si="18"/>
        <v>25000</v>
      </c>
      <c r="V44" s="66">
        <f t="shared" si="3"/>
        <v>50000</v>
      </c>
      <c r="W44" s="62"/>
      <c r="X44" s="423" t="s">
        <v>531</v>
      </c>
      <c r="Y44" s="422"/>
      <c r="Z44" s="60">
        <v>50000</v>
      </c>
      <c r="AA44" s="68">
        <v>47750</v>
      </c>
    </row>
    <row r="45" spans="1:27">
      <c r="A45" s="593">
        <f t="shared" si="0"/>
        <v>254</v>
      </c>
      <c r="B45" s="594" t="s">
        <v>532</v>
      </c>
      <c r="C45" s="62"/>
      <c r="D45" s="62">
        <v>7500</v>
      </c>
      <c r="E45" s="62"/>
      <c r="F45" s="62">
        <v>2500</v>
      </c>
      <c r="G45" s="62">
        <v>2500</v>
      </c>
      <c r="H45" s="63"/>
      <c r="I45" s="62"/>
      <c r="J45" s="62">
        <v>2500</v>
      </c>
      <c r="K45" s="62">
        <f t="shared" si="19"/>
        <v>2500</v>
      </c>
      <c r="L45" s="56"/>
      <c r="M45" s="56">
        <v>2500</v>
      </c>
      <c r="N45" s="56">
        <f t="shared" si="4"/>
        <v>2500</v>
      </c>
      <c r="O45" s="312"/>
      <c r="P45" s="56">
        <f t="shared" si="5"/>
        <v>2500</v>
      </c>
      <c r="Q45" s="420">
        <v>2500</v>
      </c>
      <c r="R45" s="420"/>
      <c r="S45" s="66">
        <v>2500</v>
      </c>
      <c r="T45" s="66">
        <f t="shared" si="17"/>
        <v>2500</v>
      </c>
      <c r="U45" s="66">
        <f t="shared" si="18"/>
        <v>5000</v>
      </c>
      <c r="V45" s="66">
        <f t="shared" si="3"/>
        <v>7500</v>
      </c>
      <c r="W45" s="62"/>
      <c r="X45" s="423"/>
      <c r="Y45" s="422"/>
      <c r="Z45" s="60">
        <v>5000</v>
      </c>
      <c r="AA45" s="68">
        <v>7500</v>
      </c>
    </row>
    <row r="46" spans="1:27">
      <c r="A46" s="593">
        <f t="shared" si="0"/>
        <v>255</v>
      </c>
      <c r="B46" s="594" t="s">
        <v>518</v>
      </c>
      <c r="C46" s="62"/>
      <c r="D46" s="62">
        <v>4500</v>
      </c>
      <c r="E46" s="62"/>
      <c r="F46" s="62">
        <v>1500</v>
      </c>
      <c r="G46" s="62">
        <v>1500</v>
      </c>
      <c r="H46" s="63"/>
      <c r="I46" s="62"/>
      <c r="J46" s="62">
        <v>1500</v>
      </c>
      <c r="K46" s="62">
        <f t="shared" si="19"/>
        <v>1500</v>
      </c>
      <c r="L46" s="56"/>
      <c r="M46" s="56">
        <v>1500</v>
      </c>
      <c r="N46" s="56">
        <f t="shared" si="4"/>
        <v>1500</v>
      </c>
      <c r="O46" s="312"/>
      <c r="P46" s="56">
        <f t="shared" si="5"/>
        <v>1500</v>
      </c>
      <c r="Q46" s="420">
        <v>1500</v>
      </c>
      <c r="R46" s="420"/>
      <c r="S46" s="66">
        <v>1500</v>
      </c>
      <c r="T46" s="66">
        <f t="shared" si="17"/>
        <v>1500</v>
      </c>
      <c r="U46" s="66">
        <f t="shared" si="18"/>
        <v>3000</v>
      </c>
      <c r="V46" s="66">
        <f t="shared" si="3"/>
        <v>4500</v>
      </c>
      <c r="W46" s="62"/>
      <c r="X46" s="423"/>
      <c r="Y46" s="422"/>
      <c r="Z46" s="60">
        <v>3000</v>
      </c>
      <c r="AA46" s="68">
        <v>4500</v>
      </c>
    </row>
    <row r="47" spans="1:27">
      <c r="A47" s="593">
        <f t="shared" si="0"/>
        <v>256</v>
      </c>
      <c r="B47" s="594" t="s">
        <v>533</v>
      </c>
      <c r="C47" s="62"/>
      <c r="D47" s="62">
        <v>10500</v>
      </c>
      <c r="E47" s="62"/>
      <c r="F47" s="62">
        <v>3500</v>
      </c>
      <c r="G47" s="62">
        <v>3500</v>
      </c>
      <c r="H47" s="63"/>
      <c r="I47" s="62"/>
      <c r="J47" s="62">
        <v>3500</v>
      </c>
      <c r="K47" s="62">
        <f t="shared" si="19"/>
        <v>3500</v>
      </c>
      <c r="L47" s="56"/>
      <c r="M47" s="56">
        <v>3500</v>
      </c>
      <c r="N47" s="56">
        <f t="shared" si="4"/>
        <v>3500</v>
      </c>
      <c r="O47" s="312"/>
      <c r="P47" s="56">
        <f t="shared" si="5"/>
        <v>3500</v>
      </c>
      <c r="Q47" s="420">
        <v>3500</v>
      </c>
      <c r="R47" s="420"/>
      <c r="S47" s="66">
        <v>3500</v>
      </c>
      <c r="T47" s="66">
        <f t="shared" si="17"/>
        <v>3500</v>
      </c>
      <c r="U47" s="66">
        <f t="shared" si="18"/>
        <v>7000</v>
      </c>
      <c r="V47" s="66">
        <f t="shared" si="3"/>
        <v>10500</v>
      </c>
      <c r="W47" s="62"/>
      <c r="X47" s="423"/>
      <c r="Y47" s="422"/>
      <c r="Z47" s="60">
        <v>7000</v>
      </c>
      <c r="AA47" s="68">
        <v>10500</v>
      </c>
    </row>
    <row r="48" spans="1:27">
      <c r="A48" s="562">
        <f>A47+1</f>
        <v>257</v>
      </c>
      <c r="B48" s="502" t="s">
        <v>520</v>
      </c>
      <c r="C48" s="62"/>
      <c r="D48" s="62">
        <v>6000</v>
      </c>
      <c r="E48" s="62"/>
      <c r="F48" s="62">
        <v>2000</v>
      </c>
      <c r="G48" s="62">
        <v>2000</v>
      </c>
      <c r="H48" s="63"/>
      <c r="I48" s="62"/>
      <c r="J48" s="62">
        <v>2000</v>
      </c>
      <c r="K48" s="62">
        <f>J48</f>
        <v>2000</v>
      </c>
      <c r="L48" s="56"/>
      <c r="M48" s="56">
        <v>2000</v>
      </c>
      <c r="N48" s="56">
        <f t="shared" si="4"/>
        <v>2000</v>
      </c>
      <c r="O48" s="312"/>
      <c r="P48" s="56">
        <f t="shared" si="5"/>
        <v>2000</v>
      </c>
      <c r="Q48" s="420">
        <v>2000</v>
      </c>
      <c r="R48" s="420"/>
      <c r="S48" s="66">
        <v>2000</v>
      </c>
      <c r="T48" s="66">
        <f t="shared" si="17"/>
        <v>2000</v>
      </c>
      <c r="U48" s="66">
        <f t="shared" si="18"/>
        <v>4000</v>
      </c>
      <c r="V48" s="66">
        <f t="shared" si="3"/>
        <v>6000</v>
      </c>
      <c r="W48" s="62"/>
      <c r="X48" s="423"/>
      <c r="Y48" s="422"/>
      <c r="Z48" s="60">
        <v>4000</v>
      </c>
      <c r="AA48" s="68">
        <v>6000</v>
      </c>
    </row>
    <row r="49" spans="1:27" s="434" customFormat="1">
      <c r="A49" s="588">
        <f t="shared" si="0"/>
        <v>258</v>
      </c>
      <c r="B49" s="589" t="s">
        <v>534</v>
      </c>
      <c r="C49" s="596">
        <f>SUM(C38:C48)</f>
        <v>627750</v>
      </c>
      <c r="D49" s="160">
        <v>724250</v>
      </c>
      <c r="E49" s="160">
        <v>255014</v>
      </c>
      <c r="F49" s="160">
        <f>SUM(F39:F48)</f>
        <v>192291.66666666669</v>
      </c>
      <c r="G49" s="160">
        <f>SUM(G39:G48)</f>
        <v>129378</v>
      </c>
      <c r="H49" s="83"/>
      <c r="I49" s="160">
        <f t="shared" ref="I49:N49" si="20">SUM(I39:I48)</f>
        <v>191000</v>
      </c>
      <c r="J49" s="160">
        <f t="shared" si="20"/>
        <v>195750</v>
      </c>
      <c r="K49" s="160">
        <f t="shared" si="20"/>
        <v>386750</v>
      </c>
      <c r="L49" s="386">
        <f t="shared" si="20"/>
        <v>191000</v>
      </c>
      <c r="M49" s="386">
        <f t="shared" si="20"/>
        <v>213750</v>
      </c>
      <c r="N49" s="386">
        <f t="shared" si="20"/>
        <v>399750</v>
      </c>
      <c r="O49" s="590" t="s">
        <v>535</v>
      </c>
      <c r="P49" s="386">
        <f t="shared" si="5"/>
        <v>399750</v>
      </c>
      <c r="Q49" s="388">
        <f t="shared" ref="Q49:Y49" si="21">SUM(Q39:Q48)</f>
        <v>189050</v>
      </c>
      <c r="R49" s="388">
        <f t="shared" si="21"/>
        <v>191000</v>
      </c>
      <c r="S49" s="388">
        <f t="shared" si="21"/>
        <v>209025</v>
      </c>
      <c r="T49" s="388">
        <f t="shared" si="21"/>
        <v>380050</v>
      </c>
      <c r="U49" s="388">
        <f t="shared" si="21"/>
        <v>569100</v>
      </c>
      <c r="V49" s="388">
        <f t="shared" si="3"/>
        <v>968850</v>
      </c>
      <c r="W49" s="160">
        <f>E49+G49+K49</f>
        <v>771142</v>
      </c>
      <c r="X49" s="389">
        <v>0</v>
      </c>
      <c r="Y49" s="388">
        <f t="shared" si="21"/>
        <v>0</v>
      </c>
      <c r="Z49" s="390">
        <v>688500</v>
      </c>
      <c r="AA49" s="391">
        <v>724250</v>
      </c>
    </row>
    <row r="50" spans="1:27">
      <c r="A50" s="562">
        <f t="shared" si="0"/>
        <v>259</v>
      </c>
      <c r="B50" s="502"/>
      <c r="C50" s="62"/>
      <c r="D50" s="62"/>
      <c r="E50" s="62"/>
      <c r="F50" s="62"/>
      <c r="G50" s="62"/>
      <c r="H50" s="63"/>
      <c r="I50" s="62"/>
      <c r="J50" s="62"/>
      <c r="K50" s="62"/>
      <c r="L50" s="56"/>
      <c r="M50" s="56"/>
      <c r="N50" s="56">
        <f t="shared" si="4"/>
        <v>0</v>
      </c>
      <c r="O50" s="312"/>
      <c r="P50" s="56">
        <f t="shared" si="5"/>
        <v>0</v>
      </c>
      <c r="Q50" s="422"/>
      <c r="R50" s="422"/>
      <c r="S50" s="422"/>
      <c r="T50" s="422"/>
      <c r="U50" s="422"/>
      <c r="V50" s="294">
        <f t="shared" si="3"/>
        <v>0</v>
      </c>
      <c r="W50" s="62"/>
      <c r="X50" s="423"/>
      <c r="Y50" s="422"/>
      <c r="Z50" s="60"/>
      <c r="AA50" s="297"/>
    </row>
    <row r="51" spans="1:27">
      <c r="A51" s="495">
        <f t="shared" si="0"/>
        <v>260</v>
      </c>
      <c r="B51" s="504" t="s">
        <v>536</v>
      </c>
      <c r="C51" s="62">
        <v>469500</v>
      </c>
      <c r="D51" s="62"/>
      <c r="E51" s="62"/>
      <c r="F51" s="62"/>
      <c r="G51" s="62"/>
      <c r="H51" s="63"/>
      <c r="I51" s="62"/>
      <c r="J51" s="62"/>
      <c r="K51" s="62"/>
      <c r="L51" s="56"/>
      <c r="M51" s="56"/>
      <c r="N51" s="56">
        <f t="shared" si="4"/>
        <v>0</v>
      </c>
      <c r="O51" s="312"/>
      <c r="P51" s="56">
        <f t="shared" si="5"/>
        <v>0</v>
      </c>
      <c r="Q51" s="422"/>
      <c r="R51" s="422"/>
      <c r="S51" s="422"/>
      <c r="T51" s="422"/>
      <c r="U51" s="422"/>
      <c r="V51" s="294">
        <f t="shared" si="3"/>
        <v>0</v>
      </c>
      <c r="W51" s="62"/>
      <c r="X51" s="423"/>
      <c r="Y51" s="422"/>
      <c r="Z51" s="60"/>
      <c r="AA51" s="297"/>
    </row>
    <row r="52" spans="1:27">
      <c r="A52" s="562">
        <f t="shared" si="0"/>
        <v>261</v>
      </c>
      <c r="B52" s="502" t="s">
        <v>497</v>
      </c>
      <c r="C52" s="62"/>
      <c r="D52" s="62">
        <v>10000</v>
      </c>
      <c r="E52" s="62"/>
      <c r="F52" s="62"/>
      <c r="G52" s="62"/>
      <c r="H52" s="63"/>
      <c r="I52" s="62">
        <v>33000</v>
      </c>
      <c r="J52" s="62"/>
      <c r="K52" s="62">
        <f>I52</f>
        <v>33000</v>
      </c>
      <c r="L52" s="56">
        <v>33000</v>
      </c>
      <c r="M52" s="56"/>
      <c r="N52" s="56">
        <f t="shared" si="4"/>
        <v>33000</v>
      </c>
      <c r="O52" s="312" t="s">
        <v>537</v>
      </c>
      <c r="P52" s="56">
        <f t="shared" si="5"/>
        <v>33000</v>
      </c>
      <c r="Q52" s="420"/>
      <c r="R52" s="420">
        <v>37000</v>
      </c>
      <c r="S52" s="66"/>
      <c r="T52" s="66">
        <f t="shared" ref="T52:T60" si="22">R52+S52</f>
        <v>37000</v>
      </c>
      <c r="U52" s="66">
        <f t="shared" ref="U52:U60" si="23">Q52+T52</f>
        <v>37000</v>
      </c>
      <c r="V52" s="66">
        <f t="shared" si="3"/>
        <v>70000</v>
      </c>
      <c r="W52" s="62"/>
      <c r="X52" s="423"/>
      <c r="Y52" s="422"/>
      <c r="Z52" s="60">
        <v>37000</v>
      </c>
      <c r="AA52" s="68">
        <v>10000</v>
      </c>
    </row>
    <row r="53" spans="1:27">
      <c r="A53" s="593">
        <f t="shared" si="0"/>
        <v>262</v>
      </c>
      <c r="B53" s="594" t="s">
        <v>538</v>
      </c>
      <c r="C53" s="62"/>
      <c r="D53" s="62">
        <v>36750</v>
      </c>
      <c r="E53" s="62"/>
      <c r="F53" s="62">
        <v>1500</v>
      </c>
      <c r="G53" s="62">
        <v>1500</v>
      </c>
      <c r="H53" s="63"/>
      <c r="I53" s="62"/>
      <c r="J53" s="62">
        <v>1500</v>
      </c>
      <c r="K53" s="62">
        <f>J53</f>
        <v>1500</v>
      </c>
      <c r="L53" s="56"/>
      <c r="M53" s="56">
        <v>1500</v>
      </c>
      <c r="N53" s="56">
        <f t="shared" si="4"/>
        <v>1500</v>
      </c>
      <c r="O53" s="312"/>
      <c r="P53" s="56">
        <f t="shared" si="5"/>
        <v>1500</v>
      </c>
      <c r="Q53" s="420">
        <v>1500</v>
      </c>
      <c r="R53" s="420"/>
      <c r="S53" s="66">
        <v>1500</v>
      </c>
      <c r="T53" s="66">
        <f t="shared" si="22"/>
        <v>1500</v>
      </c>
      <c r="U53" s="66">
        <f t="shared" si="23"/>
        <v>3000</v>
      </c>
      <c r="V53" s="66">
        <f t="shared" si="3"/>
        <v>4500</v>
      </c>
      <c r="W53" s="62"/>
      <c r="X53" s="423"/>
      <c r="Y53" s="422"/>
      <c r="Z53" s="60">
        <v>3000</v>
      </c>
      <c r="AA53" s="68">
        <v>36750</v>
      </c>
    </row>
    <row r="54" spans="1:27" ht="42.75">
      <c r="A54" s="593">
        <f t="shared" si="0"/>
        <v>263</v>
      </c>
      <c r="B54" s="594" t="s">
        <v>499</v>
      </c>
      <c r="C54" s="62"/>
      <c r="D54" s="62">
        <v>45000</v>
      </c>
      <c r="E54" s="62"/>
      <c r="F54" s="62">
        <v>12000</v>
      </c>
      <c r="G54" s="62">
        <f>12000*0.8</f>
        <v>9600</v>
      </c>
      <c r="H54" s="63" t="s">
        <v>539</v>
      </c>
      <c r="I54" s="62"/>
      <c r="J54" s="62">
        <v>12000</v>
      </c>
      <c r="K54" s="62">
        <f t="shared" ref="K54:K60" si="24">J54</f>
        <v>12000</v>
      </c>
      <c r="L54" s="56"/>
      <c r="M54" s="56">
        <v>13000</v>
      </c>
      <c r="N54" s="56">
        <f t="shared" si="4"/>
        <v>13000</v>
      </c>
      <c r="O54" s="312" t="s">
        <v>540</v>
      </c>
      <c r="P54" s="56">
        <f t="shared" si="5"/>
        <v>13000</v>
      </c>
      <c r="Q54" s="420">
        <v>13000</v>
      </c>
      <c r="R54" s="420"/>
      <c r="S54" s="66">
        <v>13000</v>
      </c>
      <c r="T54" s="66">
        <f t="shared" si="22"/>
        <v>13000</v>
      </c>
      <c r="U54" s="66">
        <f t="shared" si="23"/>
        <v>26000</v>
      </c>
      <c r="V54" s="66">
        <f t="shared" si="3"/>
        <v>39000</v>
      </c>
      <c r="W54" s="62"/>
      <c r="X54" s="423"/>
      <c r="Y54" s="422"/>
      <c r="Z54" s="60">
        <v>26000</v>
      </c>
      <c r="AA54" s="68">
        <v>45000</v>
      </c>
    </row>
    <row r="55" spans="1:27" ht="13.9" customHeight="1">
      <c r="A55" s="593">
        <f t="shared" si="0"/>
        <v>264</v>
      </c>
      <c r="B55" s="594" t="s">
        <v>443</v>
      </c>
      <c r="C55" s="62"/>
      <c r="D55" s="62">
        <v>75000</v>
      </c>
      <c r="E55" s="62"/>
      <c r="F55" s="62">
        <v>26383</v>
      </c>
      <c r="G55" s="62">
        <f>26383*0.75</f>
        <v>19787.25</v>
      </c>
      <c r="H55" s="63" t="s">
        <v>541</v>
      </c>
      <c r="I55" s="62"/>
      <c r="J55" s="62">
        <v>26384</v>
      </c>
      <c r="K55" s="62">
        <f t="shared" si="24"/>
        <v>26384</v>
      </c>
      <c r="L55" s="56"/>
      <c r="M55" s="56">
        <f>24000+7500</f>
        <v>31500</v>
      </c>
      <c r="N55" s="56">
        <f t="shared" si="4"/>
        <v>31500</v>
      </c>
      <c r="O55" s="312" t="s">
        <v>542</v>
      </c>
      <c r="P55" s="56">
        <f t="shared" si="5"/>
        <v>31500</v>
      </c>
      <c r="Q55" s="584">
        <v>25200</v>
      </c>
      <c r="R55" s="420"/>
      <c r="S55" s="586">
        <v>25200</v>
      </c>
      <c r="T55" s="66">
        <f t="shared" si="22"/>
        <v>25200</v>
      </c>
      <c r="U55" s="66">
        <f t="shared" si="23"/>
        <v>50400</v>
      </c>
      <c r="V55" s="66">
        <f t="shared" si="3"/>
        <v>81900</v>
      </c>
      <c r="W55" s="62"/>
      <c r="X55" s="423" t="s">
        <v>543</v>
      </c>
      <c r="Y55" s="422"/>
      <c r="Z55" s="60">
        <v>48000</v>
      </c>
      <c r="AA55" s="68">
        <v>75000</v>
      </c>
    </row>
    <row r="56" spans="1:27">
      <c r="A56" s="593">
        <f t="shared" si="0"/>
        <v>265</v>
      </c>
      <c r="B56" s="594" t="s">
        <v>501</v>
      </c>
      <c r="C56" s="62"/>
      <c r="D56" s="62">
        <v>6000</v>
      </c>
      <c r="E56" s="62"/>
      <c r="F56" s="62">
        <v>3000</v>
      </c>
      <c r="G56" s="62">
        <v>3600</v>
      </c>
      <c r="H56" s="63" t="s">
        <v>544</v>
      </c>
      <c r="I56" s="62"/>
      <c r="J56" s="62">
        <v>3000</v>
      </c>
      <c r="K56" s="62">
        <f t="shared" si="24"/>
        <v>3000</v>
      </c>
      <c r="L56" s="56"/>
      <c r="M56" s="56">
        <v>5000</v>
      </c>
      <c r="N56" s="56">
        <f t="shared" si="4"/>
        <v>5000</v>
      </c>
      <c r="O56" s="312" t="s">
        <v>545</v>
      </c>
      <c r="P56" s="56">
        <f t="shared" si="5"/>
        <v>5000</v>
      </c>
      <c r="Q56" s="420">
        <v>5000</v>
      </c>
      <c r="R56" s="420"/>
      <c r="S56" s="66">
        <v>5000</v>
      </c>
      <c r="T56" s="66">
        <f t="shared" si="22"/>
        <v>5000</v>
      </c>
      <c r="U56" s="66">
        <f t="shared" si="23"/>
        <v>10000</v>
      </c>
      <c r="V56" s="66">
        <f t="shared" si="3"/>
        <v>15000</v>
      </c>
      <c r="W56" s="62"/>
      <c r="X56" s="423"/>
      <c r="Y56" s="422"/>
      <c r="Z56" s="60">
        <v>10000</v>
      </c>
      <c r="AA56" s="68">
        <v>6000</v>
      </c>
    </row>
    <row r="57" spans="1:27">
      <c r="A57" s="593">
        <f t="shared" si="0"/>
        <v>266</v>
      </c>
      <c r="B57" s="594" t="s">
        <v>503</v>
      </c>
      <c r="C57" s="62"/>
      <c r="D57" s="62">
        <v>52500</v>
      </c>
      <c r="E57" s="62"/>
      <c r="F57" s="62">
        <v>13500</v>
      </c>
      <c r="G57" s="62">
        <v>13500</v>
      </c>
      <c r="H57" s="63"/>
      <c r="I57" s="62"/>
      <c r="J57" s="62">
        <v>15000</v>
      </c>
      <c r="K57" s="62">
        <f t="shared" si="24"/>
        <v>15000</v>
      </c>
      <c r="L57" s="56"/>
      <c r="M57" s="56">
        <v>15500</v>
      </c>
      <c r="N57" s="56">
        <f t="shared" si="4"/>
        <v>15500</v>
      </c>
      <c r="O57" s="312"/>
      <c r="P57" s="56">
        <f t="shared" si="5"/>
        <v>15500</v>
      </c>
      <c r="Q57" s="420">
        <v>15500</v>
      </c>
      <c r="R57" s="420"/>
      <c r="S57" s="66">
        <v>15500</v>
      </c>
      <c r="T57" s="66">
        <f t="shared" si="22"/>
        <v>15500</v>
      </c>
      <c r="U57" s="66">
        <f t="shared" si="23"/>
        <v>31000</v>
      </c>
      <c r="V57" s="66">
        <f t="shared" si="3"/>
        <v>46500</v>
      </c>
      <c r="W57" s="62"/>
      <c r="X57" s="423"/>
      <c r="Y57" s="422"/>
      <c r="Z57" s="60">
        <v>31000</v>
      </c>
      <c r="AA57" s="68">
        <v>52500</v>
      </c>
    </row>
    <row r="58" spans="1:27">
      <c r="A58" s="593">
        <f t="shared" si="0"/>
        <v>267</v>
      </c>
      <c r="B58" s="594" t="s">
        <v>518</v>
      </c>
      <c r="C58" s="62"/>
      <c r="D58" s="62">
        <v>1800</v>
      </c>
      <c r="E58" s="62"/>
      <c r="F58" s="62">
        <v>600</v>
      </c>
      <c r="G58" s="62">
        <v>600</v>
      </c>
      <c r="H58" s="63"/>
      <c r="I58" s="62"/>
      <c r="J58" s="62">
        <v>600</v>
      </c>
      <c r="K58" s="62">
        <f t="shared" si="24"/>
        <v>600</v>
      </c>
      <c r="L58" s="56"/>
      <c r="M58" s="56">
        <v>600</v>
      </c>
      <c r="N58" s="56">
        <f t="shared" si="4"/>
        <v>600</v>
      </c>
      <c r="O58" s="312"/>
      <c r="P58" s="56">
        <f t="shared" si="5"/>
        <v>600</v>
      </c>
      <c r="Q58" s="420">
        <v>500</v>
      </c>
      <c r="R58" s="420"/>
      <c r="S58" s="66">
        <v>600</v>
      </c>
      <c r="T58" s="66">
        <f t="shared" si="22"/>
        <v>600</v>
      </c>
      <c r="U58" s="66">
        <f t="shared" si="23"/>
        <v>1100</v>
      </c>
      <c r="V58" s="66">
        <f t="shared" si="3"/>
        <v>1700</v>
      </c>
      <c r="W58" s="62"/>
      <c r="X58" s="423"/>
      <c r="Y58" s="422"/>
      <c r="Z58" s="60">
        <v>1100</v>
      </c>
      <c r="AA58" s="68">
        <v>1800</v>
      </c>
    </row>
    <row r="59" spans="1:27">
      <c r="A59" s="593">
        <f t="shared" si="0"/>
        <v>268</v>
      </c>
      <c r="B59" s="594" t="s">
        <v>519</v>
      </c>
      <c r="C59" s="62"/>
      <c r="D59" s="62">
        <v>6000</v>
      </c>
      <c r="E59" s="62"/>
      <c r="F59" s="62">
        <v>5500</v>
      </c>
      <c r="G59" s="62">
        <v>1200</v>
      </c>
      <c r="H59" s="63"/>
      <c r="I59" s="62"/>
      <c r="J59" s="62">
        <v>9800</v>
      </c>
      <c r="K59" s="62">
        <f t="shared" si="24"/>
        <v>9800</v>
      </c>
      <c r="L59" s="56"/>
      <c r="M59" s="56">
        <v>5000</v>
      </c>
      <c r="N59" s="56">
        <f t="shared" si="4"/>
        <v>5000</v>
      </c>
      <c r="O59" s="312"/>
      <c r="P59" s="56">
        <f t="shared" si="5"/>
        <v>5000</v>
      </c>
      <c r="Q59" s="420">
        <v>5000</v>
      </c>
      <c r="R59" s="420"/>
      <c r="S59" s="66">
        <v>5000</v>
      </c>
      <c r="T59" s="66">
        <f t="shared" si="22"/>
        <v>5000</v>
      </c>
      <c r="U59" s="66">
        <f t="shared" si="23"/>
        <v>10000</v>
      </c>
      <c r="V59" s="66">
        <f t="shared" si="3"/>
        <v>15000</v>
      </c>
      <c r="W59" s="62"/>
      <c r="X59" s="423"/>
      <c r="Y59" s="422"/>
      <c r="Z59" s="60">
        <v>10000</v>
      </c>
      <c r="AA59" s="68">
        <v>6000</v>
      </c>
    </row>
    <row r="60" spans="1:27">
      <c r="A60" s="562">
        <f t="shared" si="0"/>
        <v>269</v>
      </c>
      <c r="B60" s="502" t="s">
        <v>520</v>
      </c>
      <c r="C60" s="62"/>
      <c r="D60" s="62">
        <v>5000</v>
      </c>
      <c r="E60" s="62"/>
      <c r="F60" s="62">
        <v>4000</v>
      </c>
      <c r="G60" s="62">
        <v>4000</v>
      </c>
      <c r="H60" s="63"/>
      <c r="I60" s="62"/>
      <c r="J60" s="62">
        <v>4000</v>
      </c>
      <c r="K60" s="62">
        <f t="shared" si="24"/>
        <v>4000</v>
      </c>
      <c r="L60" s="56"/>
      <c r="M60" s="56">
        <v>6000</v>
      </c>
      <c r="N60" s="56">
        <f t="shared" si="4"/>
        <v>6000</v>
      </c>
      <c r="O60" s="312" t="s">
        <v>546</v>
      </c>
      <c r="P60" s="56">
        <f t="shared" si="5"/>
        <v>6000</v>
      </c>
      <c r="Q60" s="420">
        <v>6000</v>
      </c>
      <c r="R60" s="420"/>
      <c r="S60" s="66">
        <v>6000</v>
      </c>
      <c r="T60" s="66">
        <f t="shared" si="22"/>
        <v>6000</v>
      </c>
      <c r="U60" s="66">
        <f t="shared" si="23"/>
        <v>12000</v>
      </c>
      <c r="V60" s="66">
        <f t="shared" si="3"/>
        <v>18000</v>
      </c>
      <c r="W60" s="62"/>
      <c r="X60" s="423"/>
      <c r="Y60" s="422"/>
      <c r="Z60" s="60">
        <v>12000</v>
      </c>
      <c r="AA60" s="68">
        <v>5000</v>
      </c>
    </row>
    <row r="61" spans="1:27" s="434" customFormat="1">
      <c r="A61" s="588">
        <f t="shared" si="0"/>
        <v>270</v>
      </c>
      <c r="B61" s="589" t="s">
        <v>547</v>
      </c>
      <c r="C61" s="160">
        <f>SUM(C51:C60)</f>
        <v>469500</v>
      </c>
      <c r="D61" s="160">
        <f t="shared" ref="D61:N61" si="25">SUM(D52:D60)</f>
        <v>238050</v>
      </c>
      <c r="E61" s="160">
        <v>45088</v>
      </c>
      <c r="F61" s="160">
        <f t="shared" si="25"/>
        <v>66483</v>
      </c>
      <c r="G61" s="160">
        <f t="shared" si="25"/>
        <v>53787.25</v>
      </c>
      <c r="H61" s="385"/>
      <c r="I61" s="160">
        <f t="shared" si="25"/>
        <v>33000</v>
      </c>
      <c r="J61" s="160">
        <f t="shared" si="25"/>
        <v>72284</v>
      </c>
      <c r="K61" s="160">
        <f t="shared" si="25"/>
        <v>105284</v>
      </c>
      <c r="L61" s="386">
        <f t="shared" si="25"/>
        <v>33000</v>
      </c>
      <c r="M61" s="386">
        <f t="shared" si="25"/>
        <v>78100</v>
      </c>
      <c r="N61" s="386">
        <f t="shared" si="25"/>
        <v>111100</v>
      </c>
      <c r="O61" s="590"/>
      <c r="P61" s="386">
        <f t="shared" si="5"/>
        <v>111100</v>
      </c>
      <c r="Q61" s="388">
        <f t="shared" ref="Q61:Y61" si="26">SUM(Q52:Q60)</f>
        <v>71700</v>
      </c>
      <c r="R61" s="388">
        <f t="shared" si="26"/>
        <v>37000</v>
      </c>
      <c r="S61" s="388">
        <f t="shared" si="26"/>
        <v>71800</v>
      </c>
      <c r="T61" s="388">
        <f t="shared" si="26"/>
        <v>108800</v>
      </c>
      <c r="U61" s="388">
        <f t="shared" si="26"/>
        <v>180500</v>
      </c>
      <c r="V61" s="388">
        <f t="shared" si="3"/>
        <v>291600</v>
      </c>
      <c r="W61" s="160">
        <f>E61+G61+K61</f>
        <v>204159.25</v>
      </c>
      <c r="X61" s="389">
        <v>0</v>
      </c>
      <c r="Y61" s="388">
        <f t="shared" si="26"/>
        <v>0</v>
      </c>
      <c r="Z61" s="390">
        <v>178100</v>
      </c>
      <c r="AA61" s="391">
        <v>238050</v>
      </c>
    </row>
    <row r="62" spans="1:27">
      <c r="A62" s="562">
        <f t="shared" si="0"/>
        <v>271</v>
      </c>
      <c r="B62" s="502"/>
      <c r="C62" s="62"/>
      <c r="D62" s="62">
        <v>0</v>
      </c>
      <c r="E62" s="62"/>
      <c r="F62" s="62"/>
      <c r="G62" s="62"/>
      <c r="H62" s="63"/>
      <c r="I62" s="62"/>
      <c r="J62" s="62"/>
      <c r="K62" s="62"/>
      <c r="L62" s="56"/>
      <c r="M62" s="56"/>
      <c r="N62" s="56">
        <f t="shared" si="4"/>
        <v>0</v>
      </c>
      <c r="O62" s="312"/>
      <c r="P62" s="56">
        <f t="shared" si="5"/>
        <v>0</v>
      </c>
      <c r="Q62" s="422"/>
      <c r="R62" s="422"/>
      <c r="S62" s="422"/>
      <c r="T62" s="422"/>
      <c r="U62" s="422"/>
      <c r="V62" s="294">
        <f t="shared" si="3"/>
        <v>0</v>
      </c>
      <c r="W62" s="62"/>
      <c r="X62" s="423"/>
      <c r="Y62" s="422"/>
      <c r="Z62" s="60"/>
      <c r="AA62" s="297"/>
    </row>
    <row r="63" spans="1:27" ht="25.5" customHeight="1">
      <c r="A63" s="495">
        <f t="shared" si="0"/>
        <v>272</v>
      </c>
      <c r="B63" s="504" t="s">
        <v>548</v>
      </c>
      <c r="C63" s="62">
        <v>861900</v>
      </c>
      <c r="D63" s="62">
        <v>0</v>
      </c>
      <c r="E63" s="62"/>
      <c r="F63" s="62"/>
      <c r="G63" s="62"/>
      <c r="H63" s="63" t="s">
        <v>549</v>
      </c>
      <c r="I63" s="62"/>
      <c r="J63" s="62"/>
      <c r="K63" s="62"/>
      <c r="L63" s="56"/>
      <c r="M63" s="56"/>
      <c r="N63" s="56">
        <f t="shared" si="4"/>
        <v>0</v>
      </c>
      <c r="O63" s="312"/>
      <c r="P63" s="56">
        <f t="shared" si="5"/>
        <v>0</v>
      </c>
      <c r="Q63" s="422"/>
      <c r="R63" s="422"/>
      <c r="S63" s="422"/>
      <c r="T63" s="422"/>
      <c r="U63" s="422"/>
      <c r="V63" s="294">
        <f t="shared" si="3"/>
        <v>0</v>
      </c>
      <c r="W63" s="62"/>
      <c r="X63" s="423"/>
      <c r="Y63" s="422"/>
      <c r="Z63" s="60"/>
      <c r="AA63" s="297"/>
    </row>
    <row r="64" spans="1:27">
      <c r="A64" s="562">
        <f t="shared" si="0"/>
        <v>273</v>
      </c>
      <c r="B64" s="502" t="s">
        <v>497</v>
      </c>
      <c r="C64" s="62"/>
      <c r="D64" s="62">
        <v>30000</v>
      </c>
      <c r="E64" s="62"/>
      <c r="F64" s="62"/>
      <c r="G64" s="62"/>
      <c r="H64" s="63"/>
      <c r="I64" s="62">
        <v>20000</v>
      </c>
      <c r="J64" s="62"/>
      <c r="K64" s="62">
        <f>I64</f>
        <v>20000</v>
      </c>
      <c r="L64" s="56">
        <v>20000</v>
      </c>
      <c r="M64" s="56"/>
      <c r="N64" s="56">
        <f t="shared" si="4"/>
        <v>20000</v>
      </c>
      <c r="O64" s="597"/>
      <c r="P64" s="56">
        <f t="shared" si="5"/>
        <v>20000</v>
      </c>
      <c r="Q64" s="583"/>
      <c r="R64" s="598">
        <v>15000</v>
      </c>
      <c r="S64" s="583"/>
      <c r="T64" s="66">
        <f t="shared" ref="T64:T73" si="27">R64+S64</f>
        <v>15000</v>
      </c>
      <c r="U64" s="66">
        <f t="shared" ref="U64:U73" si="28">Q64+T64</f>
        <v>15000</v>
      </c>
      <c r="V64" s="66">
        <f t="shared" si="3"/>
        <v>35000</v>
      </c>
      <c r="W64" s="62"/>
      <c r="X64" s="423"/>
      <c r="Y64" s="422"/>
      <c r="Z64" s="60">
        <v>20000</v>
      </c>
      <c r="AA64" s="68">
        <v>20000</v>
      </c>
    </row>
    <row r="65" spans="1:27" ht="23.55" customHeight="1">
      <c r="A65" s="562">
        <f t="shared" si="0"/>
        <v>274</v>
      </c>
      <c r="B65" s="502" t="s">
        <v>443</v>
      </c>
      <c r="C65" s="62"/>
      <c r="D65" s="62">
        <v>75000</v>
      </c>
      <c r="E65" s="62"/>
      <c r="F65" s="62">
        <v>25000</v>
      </c>
      <c r="G65" s="62">
        <f>25000*0.25</f>
        <v>6250</v>
      </c>
      <c r="H65" s="63" t="s">
        <v>550</v>
      </c>
      <c r="I65" s="62"/>
      <c r="J65" s="62">
        <v>25000</v>
      </c>
      <c r="K65" s="62">
        <f>J65</f>
        <v>25000</v>
      </c>
      <c r="L65" s="56"/>
      <c r="M65" s="56">
        <v>25000</v>
      </c>
      <c r="N65" s="56">
        <f t="shared" si="4"/>
        <v>25000</v>
      </c>
      <c r="O65" s="597"/>
      <c r="P65" s="56">
        <f t="shared" si="5"/>
        <v>25000</v>
      </c>
      <c r="Q65" s="584">
        <v>12500</v>
      </c>
      <c r="R65" s="420"/>
      <c r="S65" s="586">
        <v>12500</v>
      </c>
      <c r="T65" s="66">
        <f t="shared" si="27"/>
        <v>12500</v>
      </c>
      <c r="U65" s="66">
        <f t="shared" si="28"/>
        <v>25000</v>
      </c>
      <c r="V65" s="66">
        <f t="shared" si="3"/>
        <v>50000</v>
      </c>
      <c r="W65" s="62"/>
      <c r="X65" s="423" t="s">
        <v>531</v>
      </c>
      <c r="Y65" s="422"/>
      <c r="Z65" s="60">
        <v>50000</v>
      </c>
      <c r="AA65" s="68">
        <v>75000</v>
      </c>
    </row>
    <row r="66" spans="1:27">
      <c r="A66" s="562">
        <f t="shared" si="0"/>
        <v>275</v>
      </c>
      <c r="B66" s="502" t="s">
        <v>528</v>
      </c>
      <c r="C66" s="62"/>
      <c r="D66" s="62">
        <v>7500</v>
      </c>
      <c r="E66" s="62"/>
      <c r="F66" s="62">
        <v>2500</v>
      </c>
      <c r="G66" s="62">
        <v>0</v>
      </c>
      <c r="H66" s="63"/>
      <c r="I66" s="62"/>
      <c r="J66" s="62">
        <v>2500</v>
      </c>
      <c r="K66" s="62">
        <f t="shared" ref="K66:K73" si="29">J66</f>
        <v>2500</v>
      </c>
      <c r="L66" s="56"/>
      <c r="M66" s="56">
        <v>2500</v>
      </c>
      <c r="N66" s="56">
        <f t="shared" si="4"/>
        <v>2500</v>
      </c>
      <c r="O66" s="597"/>
      <c r="P66" s="56">
        <f t="shared" si="5"/>
        <v>2500</v>
      </c>
      <c r="Q66" s="420">
        <v>2500</v>
      </c>
      <c r="R66" s="420"/>
      <c r="S66" s="66">
        <v>2500</v>
      </c>
      <c r="T66" s="66">
        <f t="shared" si="27"/>
        <v>2500</v>
      </c>
      <c r="U66" s="66">
        <f t="shared" si="28"/>
        <v>5000</v>
      </c>
      <c r="V66" s="66">
        <f t="shared" si="3"/>
        <v>7500</v>
      </c>
      <c r="W66" s="62"/>
      <c r="X66" s="423"/>
      <c r="Y66" s="422"/>
      <c r="Z66" s="60">
        <v>5000</v>
      </c>
      <c r="AA66" s="68">
        <v>7500</v>
      </c>
    </row>
    <row r="67" spans="1:27" ht="28.05" customHeight="1">
      <c r="A67" s="562">
        <f t="shared" si="0"/>
        <v>276</v>
      </c>
      <c r="B67" s="502" t="s">
        <v>551</v>
      </c>
      <c r="C67" s="62"/>
      <c r="D67" s="62">
        <v>650000</v>
      </c>
      <c r="E67" s="62"/>
      <c r="F67" s="62">
        <v>221850</v>
      </c>
      <c r="G67" s="62">
        <v>180000</v>
      </c>
      <c r="H67" s="63" t="s">
        <v>552</v>
      </c>
      <c r="I67" s="62"/>
      <c r="J67" s="62">
        <v>141818</v>
      </c>
      <c r="K67" s="62">
        <f t="shared" si="29"/>
        <v>141818</v>
      </c>
      <c r="L67" s="56"/>
      <c r="M67" s="56">
        <v>70000</v>
      </c>
      <c r="N67" s="56">
        <f t="shared" si="4"/>
        <v>70000</v>
      </c>
      <c r="O67" s="597"/>
      <c r="P67" s="56">
        <f t="shared" si="5"/>
        <v>70000</v>
      </c>
      <c r="Q67" s="420">
        <v>70000</v>
      </c>
      <c r="R67" s="420"/>
      <c r="S67" s="66">
        <v>70000</v>
      </c>
      <c r="T67" s="66">
        <f t="shared" si="27"/>
        <v>70000</v>
      </c>
      <c r="U67" s="66">
        <f t="shared" si="28"/>
        <v>140000</v>
      </c>
      <c r="V67" s="66">
        <f t="shared" si="3"/>
        <v>210000</v>
      </c>
      <c r="W67" s="62"/>
      <c r="X67" s="423"/>
      <c r="Y67" s="422"/>
      <c r="Z67" s="60">
        <v>140000</v>
      </c>
      <c r="AA67" s="68">
        <v>726093</v>
      </c>
    </row>
    <row r="68" spans="1:27" s="298" customFormat="1" ht="18.399999999999999" customHeight="1">
      <c r="A68" s="236">
        <f t="shared" si="0"/>
        <v>277</v>
      </c>
      <c r="B68" s="298" t="s">
        <v>553</v>
      </c>
      <c r="C68" s="63">
        <v>24000</v>
      </c>
      <c r="D68" s="63">
        <v>90000</v>
      </c>
      <c r="E68" s="63"/>
      <c r="F68" s="63">
        <v>30000</v>
      </c>
      <c r="G68" s="63">
        <v>30000</v>
      </c>
      <c r="H68" s="63"/>
      <c r="I68" s="63"/>
      <c r="J68" s="63">
        <v>35000</v>
      </c>
      <c r="K68" s="62">
        <f t="shared" si="29"/>
        <v>35000</v>
      </c>
      <c r="L68" s="77"/>
      <c r="M68" s="77">
        <v>35000</v>
      </c>
      <c r="N68" s="77">
        <f t="shared" si="4"/>
        <v>35000</v>
      </c>
      <c r="O68" s="77"/>
      <c r="P68" s="77">
        <f t="shared" si="5"/>
        <v>35000</v>
      </c>
      <c r="Q68" s="420">
        <v>35000</v>
      </c>
      <c r="R68" s="420"/>
      <c r="S68" s="66">
        <v>35000</v>
      </c>
      <c r="T68" s="66">
        <f t="shared" si="27"/>
        <v>35000</v>
      </c>
      <c r="U68" s="66">
        <f t="shared" si="28"/>
        <v>70000</v>
      </c>
      <c r="V68" s="66">
        <f t="shared" si="3"/>
        <v>105000</v>
      </c>
      <c r="W68" s="63"/>
      <c r="X68" s="295"/>
      <c r="Y68" s="293"/>
      <c r="Z68" s="296">
        <v>70000</v>
      </c>
      <c r="AA68" s="68">
        <v>90000</v>
      </c>
    </row>
    <row r="69" spans="1:27">
      <c r="A69" s="562">
        <f>A68+1</f>
        <v>278</v>
      </c>
      <c r="B69" s="502" t="s">
        <v>532</v>
      </c>
      <c r="C69" s="62"/>
      <c r="D69" s="62">
        <v>3000</v>
      </c>
      <c r="E69" s="62"/>
      <c r="F69" s="62">
        <v>1000</v>
      </c>
      <c r="G69" s="62">
        <v>1125</v>
      </c>
      <c r="H69" s="63"/>
      <c r="I69" s="62"/>
      <c r="J69" s="62">
        <v>1000</v>
      </c>
      <c r="K69" s="62">
        <f t="shared" si="29"/>
        <v>1000</v>
      </c>
      <c r="L69" s="56"/>
      <c r="M69" s="56">
        <v>1000</v>
      </c>
      <c r="N69" s="56">
        <f t="shared" si="4"/>
        <v>1000</v>
      </c>
      <c r="O69" s="597"/>
      <c r="P69" s="56">
        <f t="shared" si="5"/>
        <v>1000</v>
      </c>
      <c r="Q69" s="420">
        <v>1000</v>
      </c>
      <c r="R69" s="420"/>
      <c r="S69" s="66">
        <v>1000</v>
      </c>
      <c r="T69" s="66">
        <f t="shared" si="27"/>
        <v>1000</v>
      </c>
      <c r="U69" s="66">
        <f t="shared" si="28"/>
        <v>2000</v>
      </c>
      <c r="V69" s="66">
        <f t="shared" si="3"/>
        <v>3000</v>
      </c>
      <c r="W69" s="62"/>
      <c r="X69" s="423"/>
      <c r="Y69" s="422"/>
      <c r="Z69" s="60">
        <v>2000</v>
      </c>
      <c r="AA69" s="68">
        <v>3000</v>
      </c>
    </row>
    <row r="70" spans="1:27">
      <c r="A70" s="562">
        <f t="shared" si="0"/>
        <v>279</v>
      </c>
      <c r="B70" s="502" t="s">
        <v>518</v>
      </c>
      <c r="C70" s="62"/>
      <c r="D70" s="62">
        <v>1600</v>
      </c>
      <c r="E70" s="62"/>
      <c r="F70" s="62">
        <v>300</v>
      </c>
      <c r="G70" s="62">
        <v>300</v>
      </c>
      <c r="H70" s="63"/>
      <c r="I70" s="62"/>
      <c r="J70" s="62">
        <v>1000</v>
      </c>
      <c r="K70" s="62">
        <f t="shared" si="29"/>
        <v>1000</v>
      </c>
      <c r="L70" s="56"/>
      <c r="M70" s="56">
        <v>1000</v>
      </c>
      <c r="N70" s="56">
        <f t="shared" si="4"/>
        <v>1000</v>
      </c>
      <c r="O70" s="597"/>
      <c r="P70" s="56">
        <f t="shared" si="5"/>
        <v>1000</v>
      </c>
      <c r="Q70" s="420">
        <v>1000</v>
      </c>
      <c r="R70" s="420"/>
      <c r="S70" s="66">
        <v>1000</v>
      </c>
      <c r="T70" s="66">
        <f t="shared" si="27"/>
        <v>1000</v>
      </c>
      <c r="U70" s="66">
        <f t="shared" si="28"/>
        <v>2000</v>
      </c>
      <c r="V70" s="66">
        <f t="shared" si="3"/>
        <v>3000</v>
      </c>
      <c r="W70" s="62"/>
      <c r="X70" s="423"/>
      <c r="Y70" s="422"/>
      <c r="Z70" s="60">
        <v>2000</v>
      </c>
      <c r="AA70" s="68">
        <v>1600</v>
      </c>
    </row>
    <row r="71" spans="1:27">
      <c r="A71" s="562">
        <f t="shared" si="0"/>
        <v>280</v>
      </c>
      <c r="B71" s="502" t="s">
        <v>554</v>
      </c>
      <c r="C71" s="62"/>
      <c r="D71" s="62">
        <v>1500</v>
      </c>
      <c r="E71" s="62"/>
      <c r="F71" s="62">
        <v>500</v>
      </c>
      <c r="G71" s="62">
        <v>500</v>
      </c>
      <c r="H71" s="63"/>
      <c r="I71" s="62"/>
      <c r="J71" s="62">
        <v>500</v>
      </c>
      <c r="K71" s="62">
        <f t="shared" si="29"/>
        <v>500</v>
      </c>
      <c r="L71" s="56"/>
      <c r="M71" s="56">
        <v>500</v>
      </c>
      <c r="N71" s="56">
        <f t="shared" si="4"/>
        <v>500</v>
      </c>
      <c r="O71" s="597"/>
      <c r="P71" s="56">
        <f t="shared" si="5"/>
        <v>500</v>
      </c>
      <c r="Q71" s="420">
        <v>500</v>
      </c>
      <c r="R71" s="420"/>
      <c r="S71" s="66">
        <v>500</v>
      </c>
      <c r="T71" s="66">
        <f t="shared" si="27"/>
        <v>500</v>
      </c>
      <c r="U71" s="66">
        <f t="shared" si="28"/>
        <v>1000</v>
      </c>
      <c r="V71" s="66">
        <f t="shared" si="3"/>
        <v>1500</v>
      </c>
      <c r="W71" s="62"/>
      <c r="X71" s="423"/>
      <c r="Y71" s="422"/>
      <c r="Z71" s="60">
        <v>1000</v>
      </c>
      <c r="AA71" s="68">
        <v>1500</v>
      </c>
    </row>
    <row r="72" spans="1:27">
      <c r="A72" s="562">
        <f t="shared" si="0"/>
        <v>281</v>
      </c>
      <c r="B72" s="502" t="s">
        <v>555</v>
      </c>
      <c r="C72" s="62"/>
      <c r="D72" s="62">
        <v>10500</v>
      </c>
      <c r="E72" s="62"/>
      <c r="F72" s="62">
        <v>7000</v>
      </c>
      <c r="G72" s="62">
        <v>3500</v>
      </c>
      <c r="H72" s="63"/>
      <c r="I72" s="62"/>
      <c r="J72" s="62">
        <v>3500</v>
      </c>
      <c r="K72" s="62">
        <f t="shared" si="29"/>
        <v>3500</v>
      </c>
      <c r="L72" s="56"/>
      <c r="M72" s="56">
        <v>1500</v>
      </c>
      <c r="N72" s="56">
        <f t="shared" si="4"/>
        <v>1500</v>
      </c>
      <c r="O72" s="597"/>
      <c r="P72" s="56">
        <f t="shared" si="5"/>
        <v>1500</v>
      </c>
      <c r="Q72" s="420">
        <v>1500</v>
      </c>
      <c r="R72" s="420"/>
      <c r="S72" s="66">
        <v>1500</v>
      </c>
      <c r="T72" s="66">
        <f t="shared" si="27"/>
        <v>1500</v>
      </c>
      <c r="U72" s="66">
        <f t="shared" si="28"/>
        <v>3000</v>
      </c>
      <c r="V72" s="66">
        <f t="shared" si="3"/>
        <v>4500</v>
      </c>
      <c r="W72" s="62"/>
      <c r="X72" s="423"/>
      <c r="Y72" s="422"/>
      <c r="Z72" s="60">
        <v>3000</v>
      </c>
      <c r="AA72" s="68">
        <v>10500</v>
      </c>
    </row>
    <row r="73" spans="1:27">
      <c r="A73" s="562">
        <f t="shared" ref="A73:A136" si="30">A72+1</f>
        <v>282</v>
      </c>
      <c r="B73" s="502" t="s">
        <v>520</v>
      </c>
      <c r="C73" s="62"/>
      <c r="D73" s="62">
        <v>7500</v>
      </c>
      <c r="E73" s="62"/>
      <c r="F73" s="62">
        <v>2500</v>
      </c>
      <c r="G73" s="62">
        <v>2500</v>
      </c>
      <c r="H73" s="63"/>
      <c r="I73" s="62"/>
      <c r="J73" s="62">
        <v>2500</v>
      </c>
      <c r="K73" s="62">
        <f t="shared" si="29"/>
        <v>2500</v>
      </c>
      <c r="L73" s="56"/>
      <c r="M73" s="56">
        <v>2500</v>
      </c>
      <c r="N73" s="56">
        <f t="shared" si="4"/>
        <v>2500</v>
      </c>
      <c r="O73" s="597"/>
      <c r="P73" s="56">
        <f t="shared" si="5"/>
        <v>2500</v>
      </c>
      <c r="Q73" s="420">
        <v>2500</v>
      </c>
      <c r="R73" s="420"/>
      <c r="S73" s="66">
        <v>2500</v>
      </c>
      <c r="T73" s="66">
        <f t="shared" si="27"/>
        <v>2500</v>
      </c>
      <c r="U73" s="66">
        <f t="shared" si="28"/>
        <v>5000</v>
      </c>
      <c r="V73" s="66">
        <f t="shared" si="3"/>
        <v>7500</v>
      </c>
      <c r="W73" s="62"/>
      <c r="X73" s="423"/>
      <c r="Y73" s="422"/>
      <c r="Z73" s="60">
        <v>5000</v>
      </c>
      <c r="AA73" s="68">
        <v>7500</v>
      </c>
    </row>
    <row r="74" spans="1:27" s="434" customFormat="1">
      <c r="A74" s="588">
        <f t="shared" si="30"/>
        <v>283</v>
      </c>
      <c r="B74" s="589" t="s">
        <v>556</v>
      </c>
      <c r="C74" s="160">
        <f>SUM(C63:C73)</f>
        <v>885900</v>
      </c>
      <c r="D74" s="160">
        <f t="shared" ref="D74" si="31">SUM(D64:D73)</f>
        <v>876600</v>
      </c>
      <c r="E74" s="160">
        <v>211299</v>
      </c>
      <c r="F74" s="160">
        <f>SUM(F64:F73)</f>
        <v>290650</v>
      </c>
      <c r="G74" s="160">
        <f>SUM(G64:G73)</f>
        <v>224175</v>
      </c>
      <c r="H74" s="160">
        <f t="shared" ref="H74" si="32">SUM(H64:H73)</f>
        <v>0</v>
      </c>
      <c r="I74" s="160">
        <f>SUM(I64:I73)</f>
        <v>20000</v>
      </c>
      <c r="J74" s="160">
        <f>SUM(J64:J73)</f>
        <v>212818</v>
      </c>
      <c r="K74" s="160">
        <f>SUM(K64:K73)</f>
        <v>232818</v>
      </c>
      <c r="L74" s="386">
        <f>SUM(L64:L73)</f>
        <v>20000</v>
      </c>
      <c r="M74" s="386">
        <f t="shared" ref="M74:N74" si="33">SUM(M64:M73)</f>
        <v>139000</v>
      </c>
      <c r="N74" s="386">
        <f t="shared" si="33"/>
        <v>159000</v>
      </c>
      <c r="O74" s="599"/>
      <c r="P74" s="386">
        <f t="shared" si="5"/>
        <v>159000</v>
      </c>
      <c r="Q74" s="388">
        <f>SUM(Q65:Q73)</f>
        <v>126500</v>
      </c>
      <c r="R74" s="388">
        <f>SUM(R64:R73)</f>
        <v>15000</v>
      </c>
      <c r="S74" s="388">
        <f>SUM(S64:S73)</f>
        <v>126500</v>
      </c>
      <c r="T74" s="388">
        <f>SUM(T64:T73)</f>
        <v>141500</v>
      </c>
      <c r="U74" s="388">
        <f t="shared" ref="U74:V74" si="34">SUM(U64:U73)</f>
        <v>268000</v>
      </c>
      <c r="V74" s="388">
        <f t="shared" si="34"/>
        <v>427000</v>
      </c>
      <c r="W74" s="160">
        <f>E74+G74+K74</f>
        <v>668292</v>
      </c>
      <c r="X74" s="389">
        <v>0</v>
      </c>
      <c r="Y74" s="388">
        <f t="shared" ref="Y74" si="35">SUM(Y64:Y73)</f>
        <v>0</v>
      </c>
      <c r="Z74" s="390">
        <v>298000</v>
      </c>
      <c r="AA74" s="391">
        <v>942693</v>
      </c>
    </row>
    <row r="75" spans="1:27">
      <c r="A75" s="562">
        <f t="shared" si="30"/>
        <v>284</v>
      </c>
      <c r="B75" s="502"/>
      <c r="C75" s="62"/>
      <c r="D75" s="62"/>
      <c r="E75" s="62"/>
      <c r="F75" s="62"/>
      <c r="G75" s="62"/>
      <c r="H75" s="63"/>
      <c r="I75" s="62"/>
      <c r="J75" s="62"/>
      <c r="K75" s="62"/>
      <c r="L75" s="56"/>
      <c r="M75" s="56"/>
      <c r="N75" s="56">
        <f t="shared" ref="N75:N86" si="36">L75+M75</f>
        <v>0</v>
      </c>
      <c r="O75" s="597"/>
      <c r="P75" s="56">
        <f t="shared" ref="P75:P77" si="37">N75</f>
        <v>0</v>
      </c>
      <c r="Q75" s="422"/>
      <c r="R75" s="422"/>
      <c r="S75" s="422"/>
      <c r="T75" s="422"/>
      <c r="U75" s="422"/>
      <c r="V75" s="294">
        <f t="shared" ref="V75:V138" si="38">U75+P75</f>
        <v>0</v>
      </c>
      <c r="W75" s="62"/>
      <c r="X75" s="423"/>
      <c r="Y75" s="422"/>
      <c r="Z75" s="60"/>
      <c r="AA75" s="297"/>
    </row>
    <row r="76" spans="1:27" ht="19.45" customHeight="1">
      <c r="A76" s="495">
        <f t="shared" si="30"/>
        <v>285</v>
      </c>
      <c r="B76" s="504" t="s">
        <v>557</v>
      </c>
      <c r="C76" s="62">
        <v>282000</v>
      </c>
      <c r="D76" s="62">
        <v>0</v>
      </c>
      <c r="E76" s="62"/>
      <c r="F76" s="62"/>
      <c r="G76" s="62"/>
      <c r="H76" s="63"/>
      <c r="I76" s="62"/>
      <c r="J76" s="62"/>
      <c r="K76" s="62"/>
      <c r="L76" s="56"/>
      <c r="M76" s="56"/>
      <c r="N76" s="56">
        <f t="shared" si="36"/>
        <v>0</v>
      </c>
      <c r="O76" s="312"/>
      <c r="P76" s="56">
        <f t="shared" si="37"/>
        <v>0</v>
      </c>
      <c r="Q76" s="420"/>
      <c r="R76" s="422"/>
      <c r="S76" s="66"/>
      <c r="T76" s="422"/>
      <c r="U76" s="422"/>
      <c r="V76" s="294">
        <f t="shared" si="38"/>
        <v>0</v>
      </c>
      <c r="W76" s="62"/>
      <c r="X76" s="423"/>
      <c r="Y76" s="422"/>
      <c r="Z76" s="60"/>
      <c r="AA76" s="297"/>
    </row>
    <row r="77" spans="1:27">
      <c r="A77" s="562">
        <f t="shared" si="30"/>
        <v>286</v>
      </c>
      <c r="B77" s="502" t="s">
        <v>558</v>
      </c>
      <c r="C77" s="62"/>
      <c r="D77" s="62">
        <v>25000</v>
      </c>
      <c r="E77" s="62"/>
      <c r="F77" s="62"/>
      <c r="G77" s="62"/>
      <c r="H77" s="63"/>
      <c r="I77" s="62">
        <v>35000</v>
      </c>
      <c r="J77" s="62"/>
      <c r="K77" s="62">
        <f>35000</f>
        <v>35000</v>
      </c>
      <c r="L77" s="56">
        <v>35000</v>
      </c>
      <c r="M77" s="56"/>
      <c r="N77" s="56">
        <f t="shared" si="36"/>
        <v>35000</v>
      </c>
      <c r="O77" s="312"/>
      <c r="P77" s="56">
        <f t="shared" si="37"/>
        <v>35000</v>
      </c>
      <c r="Q77" s="420"/>
      <c r="R77" s="420">
        <v>35000</v>
      </c>
      <c r="S77" s="66"/>
      <c r="T77" s="66">
        <f>R77+S76</f>
        <v>35000</v>
      </c>
      <c r="U77" s="66">
        <f t="shared" ref="U77:U86" si="39">Q77+T77</f>
        <v>35000</v>
      </c>
      <c r="V77" s="66">
        <f t="shared" si="38"/>
        <v>70000</v>
      </c>
      <c r="W77" s="62">
        <v>35000</v>
      </c>
      <c r="X77" s="423"/>
      <c r="Y77" s="422"/>
      <c r="Z77" s="60">
        <v>35000</v>
      </c>
      <c r="AA77" s="68">
        <v>25000</v>
      </c>
    </row>
    <row r="78" spans="1:27">
      <c r="A78" s="562">
        <f t="shared" si="30"/>
        <v>287</v>
      </c>
      <c r="B78" s="502" t="s">
        <v>280</v>
      </c>
      <c r="C78" s="62"/>
      <c r="D78" s="62">
        <v>180000</v>
      </c>
      <c r="E78" s="62"/>
      <c r="F78" s="62">
        <v>40000</v>
      </c>
      <c r="G78" s="62">
        <v>40000</v>
      </c>
      <c r="H78" s="63"/>
      <c r="I78" s="62"/>
      <c r="J78" s="62">
        <v>40000</v>
      </c>
      <c r="K78" s="62">
        <f>J78</f>
        <v>40000</v>
      </c>
      <c r="L78" s="56"/>
      <c r="M78" s="56">
        <v>42000</v>
      </c>
      <c r="N78" s="56">
        <f t="shared" si="36"/>
        <v>42000</v>
      </c>
      <c r="O78" s="312"/>
      <c r="P78" s="56">
        <v>112000</v>
      </c>
      <c r="Q78" s="584">
        <v>92000</v>
      </c>
      <c r="R78" s="420"/>
      <c r="S78" s="586">
        <v>92000</v>
      </c>
      <c r="T78" s="66">
        <f t="shared" ref="T78:T86" si="40">R78+S78</f>
        <v>92000</v>
      </c>
      <c r="U78" s="66">
        <f t="shared" si="39"/>
        <v>184000</v>
      </c>
      <c r="V78" s="66">
        <f t="shared" si="38"/>
        <v>296000</v>
      </c>
      <c r="W78" s="62"/>
      <c r="X78" s="423"/>
      <c r="Y78" s="422"/>
      <c r="Z78" s="60">
        <v>224000</v>
      </c>
      <c r="AA78" s="68">
        <v>180000</v>
      </c>
    </row>
    <row r="79" spans="1:27" ht="20.55" customHeight="1">
      <c r="A79" s="562">
        <f t="shared" si="30"/>
        <v>288</v>
      </c>
      <c r="B79" s="502" t="s">
        <v>559</v>
      </c>
      <c r="C79" s="62"/>
      <c r="D79" s="62">
        <v>180000</v>
      </c>
      <c r="E79" s="62"/>
      <c r="F79" s="62">
        <v>68000</v>
      </c>
      <c r="G79" s="62">
        <f>68000*0.85</f>
        <v>57800</v>
      </c>
      <c r="H79" s="63" t="s">
        <v>177</v>
      </c>
      <c r="I79" s="62"/>
      <c r="J79" s="62">
        <v>60000</v>
      </c>
      <c r="K79" s="62">
        <f t="shared" ref="K79:K86" si="41">J79</f>
        <v>60000</v>
      </c>
      <c r="L79" s="56"/>
      <c r="M79" s="56">
        <v>63000</v>
      </c>
      <c r="N79" s="56">
        <f t="shared" si="36"/>
        <v>63000</v>
      </c>
      <c r="O79" s="312"/>
      <c r="P79" s="56">
        <f t="shared" ref="P79:P142" si="42">N79</f>
        <v>63000</v>
      </c>
      <c r="Q79" s="584">
        <v>47250</v>
      </c>
      <c r="R79" s="420"/>
      <c r="S79" s="586">
        <v>47250</v>
      </c>
      <c r="T79" s="66">
        <f t="shared" si="40"/>
        <v>47250</v>
      </c>
      <c r="U79" s="66">
        <f t="shared" si="39"/>
        <v>94500</v>
      </c>
      <c r="V79" s="66">
        <f t="shared" si="38"/>
        <v>157500</v>
      </c>
      <c r="W79" s="62"/>
      <c r="X79" s="600" t="s">
        <v>560</v>
      </c>
      <c r="Y79" s="422"/>
      <c r="Z79" s="60">
        <v>126000</v>
      </c>
      <c r="AA79" s="68">
        <v>180000</v>
      </c>
    </row>
    <row r="80" spans="1:27">
      <c r="A80" s="562">
        <f t="shared" si="30"/>
        <v>289</v>
      </c>
      <c r="B80" s="502" t="s">
        <v>501</v>
      </c>
      <c r="C80" s="62"/>
      <c r="D80" s="62">
        <v>9000</v>
      </c>
      <c r="E80" s="62"/>
      <c r="F80" s="62">
        <v>3900</v>
      </c>
      <c r="G80" s="62">
        <v>1000</v>
      </c>
      <c r="H80" s="63"/>
      <c r="I80" s="62"/>
      <c r="J80" s="62">
        <v>3000</v>
      </c>
      <c r="K80" s="62">
        <f t="shared" si="41"/>
        <v>3000</v>
      </c>
      <c r="L80" s="56"/>
      <c r="M80" s="56">
        <v>3150</v>
      </c>
      <c r="N80" s="56">
        <f t="shared" si="36"/>
        <v>3150</v>
      </c>
      <c r="O80" s="312"/>
      <c r="P80" s="56">
        <f t="shared" si="42"/>
        <v>3150</v>
      </c>
      <c r="Q80" s="420">
        <v>3150</v>
      </c>
      <c r="R80" s="420"/>
      <c r="S80" s="66">
        <v>3150</v>
      </c>
      <c r="T80" s="66">
        <f t="shared" si="40"/>
        <v>3150</v>
      </c>
      <c r="U80" s="66">
        <f t="shared" si="39"/>
        <v>6300</v>
      </c>
      <c r="V80" s="66">
        <f t="shared" si="38"/>
        <v>9450</v>
      </c>
      <c r="W80" s="62"/>
      <c r="X80" s="423"/>
      <c r="Y80" s="422"/>
      <c r="Z80" s="60">
        <v>6300</v>
      </c>
      <c r="AA80" s="68">
        <v>9000</v>
      </c>
    </row>
    <row r="81" spans="1:27">
      <c r="A81" s="562">
        <f t="shared" si="30"/>
        <v>290</v>
      </c>
      <c r="B81" s="502" t="s">
        <v>504</v>
      </c>
      <c r="C81" s="62"/>
      <c r="D81" s="62">
        <v>900</v>
      </c>
      <c r="E81" s="62"/>
      <c r="F81" s="62">
        <v>200</v>
      </c>
      <c r="G81" s="62">
        <v>200</v>
      </c>
      <c r="H81" s="63"/>
      <c r="I81" s="62"/>
      <c r="J81" s="62">
        <v>500</v>
      </c>
      <c r="K81" s="62">
        <f t="shared" si="41"/>
        <v>500</v>
      </c>
      <c r="L81" s="56"/>
      <c r="M81" s="56">
        <v>200</v>
      </c>
      <c r="N81" s="56">
        <f t="shared" si="36"/>
        <v>200</v>
      </c>
      <c r="O81" s="312"/>
      <c r="P81" s="56">
        <f t="shared" si="42"/>
        <v>200</v>
      </c>
      <c r="Q81" s="420">
        <v>200</v>
      </c>
      <c r="R81" s="420"/>
      <c r="S81" s="66">
        <v>200</v>
      </c>
      <c r="T81" s="66">
        <f t="shared" si="40"/>
        <v>200</v>
      </c>
      <c r="U81" s="66">
        <f t="shared" si="39"/>
        <v>400</v>
      </c>
      <c r="V81" s="66">
        <f t="shared" si="38"/>
        <v>600</v>
      </c>
      <c r="W81" s="62"/>
      <c r="X81" s="423"/>
      <c r="Y81" s="422"/>
      <c r="Z81" s="60">
        <v>400</v>
      </c>
      <c r="AA81" s="68">
        <v>900</v>
      </c>
    </row>
    <row r="82" spans="1:27">
      <c r="A82" s="562">
        <f t="shared" si="30"/>
        <v>291</v>
      </c>
      <c r="B82" s="502" t="s">
        <v>503</v>
      </c>
      <c r="C82" s="62"/>
      <c r="D82" s="62">
        <v>9000</v>
      </c>
      <c r="E82" s="62"/>
      <c r="F82" s="62">
        <v>3000</v>
      </c>
      <c r="G82" s="62">
        <v>3000</v>
      </c>
      <c r="H82" s="63"/>
      <c r="I82" s="62"/>
      <c r="J82" s="62">
        <v>3000</v>
      </c>
      <c r="K82" s="62">
        <f t="shared" si="41"/>
        <v>3000</v>
      </c>
      <c r="L82" s="56"/>
      <c r="M82" s="56">
        <v>3150</v>
      </c>
      <c r="N82" s="56">
        <f t="shared" si="36"/>
        <v>3150</v>
      </c>
      <c r="O82" s="312"/>
      <c r="P82" s="56">
        <f t="shared" si="42"/>
        <v>3150</v>
      </c>
      <c r="Q82" s="420">
        <v>3150</v>
      </c>
      <c r="R82" s="420"/>
      <c r="S82" s="66">
        <v>3150</v>
      </c>
      <c r="T82" s="66">
        <f t="shared" si="40"/>
        <v>3150</v>
      </c>
      <c r="U82" s="66">
        <f t="shared" si="39"/>
        <v>6300</v>
      </c>
      <c r="V82" s="66">
        <f t="shared" si="38"/>
        <v>9450</v>
      </c>
      <c r="W82" s="62"/>
      <c r="X82" s="423"/>
      <c r="Y82" s="422"/>
      <c r="Z82" s="60">
        <v>6300</v>
      </c>
      <c r="AA82" s="68">
        <v>9000</v>
      </c>
    </row>
    <row r="83" spans="1:27">
      <c r="A83" s="562">
        <f t="shared" si="30"/>
        <v>292</v>
      </c>
      <c r="B83" s="502" t="s">
        <v>518</v>
      </c>
      <c r="C83" s="62"/>
      <c r="D83" s="62">
        <v>3000</v>
      </c>
      <c r="E83" s="62"/>
      <c r="F83" s="62">
        <v>1000</v>
      </c>
      <c r="G83" s="62">
        <v>1000</v>
      </c>
      <c r="H83" s="63"/>
      <c r="I83" s="62"/>
      <c r="J83" s="62">
        <v>1000</v>
      </c>
      <c r="K83" s="62">
        <f t="shared" si="41"/>
        <v>1000</v>
      </c>
      <c r="L83" s="56"/>
      <c r="M83" s="56">
        <v>1000</v>
      </c>
      <c r="N83" s="56">
        <f t="shared" si="36"/>
        <v>1000</v>
      </c>
      <c r="O83" s="312"/>
      <c r="P83" s="56">
        <f t="shared" si="42"/>
        <v>1000</v>
      </c>
      <c r="Q83" s="420">
        <v>1000</v>
      </c>
      <c r="R83" s="420"/>
      <c r="S83" s="66">
        <v>1000</v>
      </c>
      <c r="T83" s="66">
        <f t="shared" si="40"/>
        <v>1000</v>
      </c>
      <c r="U83" s="66">
        <f t="shared" si="39"/>
        <v>2000</v>
      </c>
      <c r="V83" s="66">
        <f t="shared" si="38"/>
        <v>3000</v>
      </c>
      <c r="W83" s="62"/>
      <c r="X83" s="423"/>
      <c r="Y83" s="422"/>
      <c r="Z83" s="60">
        <v>2000</v>
      </c>
      <c r="AA83" s="68">
        <v>3000</v>
      </c>
    </row>
    <row r="84" spans="1:27">
      <c r="A84" s="562">
        <f t="shared" si="30"/>
        <v>293</v>
      </c>
      <c r="B84" s="502" t="s">
        <v>554</v>
      </c>
      <c r="C84" s="62"/>
      <c r="D84" s="62">
        <v>3000</v>
      </c>
      <c r="E84" s="62"/>
      <c r="F84" s="62">
        <v>1000</v>
      </c>
      <c r="G84" s="62">
        <v>1000</v>
      </c>
      <c r="H84" s="63"/>
      <c r="I84" s="62"/>
      <c r="J84" s="62">
        <v>1000</v>
      </c>
      <c r="K84" s="62">
        <f t="shared" si="41"/>
        <v>1000</v>
      </c>
      <c r="L84" s="56"/>
      <c r="M84" s="56">
        <v>1000</v>
      </c>
      <c r="N84" s="56">
        <f t="shared" si="36"/>
        <v>1000</v>
      </c>
      <c r="O84" s="312"/>
      <c r="P84" s="56">
        <f t="shared" si="42"/>
        <v>1000</v>
      </c>
      <c r="Q84" s="420">
        <v>1000</v>
      </c>
      <c r="R84" s="420"/>
      <c r="S84" s="66">
        <v>1000</v>
      </c>
      <c r="T84" s="66">
        <f t="shared" si="40"/>
        <v>1000</v>
      </c>
      <c r="U84" s="66">
        <f t="shared" si="39"/>
        <v>2000</v>
      </c>
      <c r="V84" s="66">
        <f t="shared" si="38"/>
        <v>3000</v>
      </c>
      <c r="W84" s="62"/>
      <c r="X84" s="423"/>
      <c r="Y84" s="422"/>
      <c r="Z84" s="60">
        <v>2000</v>
      </c>
      <c r="AA84" s="68">
        <v>3000</v>
      </c>
    </row>
    <row r="85" spans="1:27">
      <c r="A85" s="562">
        <f t="shared" si="30"/>
        <v>294</v>
      </c>
      <c r="B85" s="502" t="s">
        <v>555</v>
      </c>
      <c r="C85" s="62"/>
      <c r="D85" s="62">
        <v>21000</v>
      </c>
      <c r="E85" s="62"/>
      <c r="F85" s="62">
        <v>7000</v>
      </c>
      <c r="G85" s="62">
        <v>0</v>
      </c>
      <c r="H85" s="63"/>
      <c r="I85" s="62"/>
      <c r="J85" s="62">
        <v>10000</v>
      </c>
      <c r="K85" s="62">
        <f t="shared" si="41"/>
        <v>10000</v>
      </c>
      <c r="L85" s="56"/>
      <c r="M85" s="56">
        <v>7000</v>
      </c>
      <c r="N85" s="56">
        <f t="shared" si="36"/>
        <v>7000</v>
      </c>
      <c r="O85" s="312"/>
      <c r="P85" s="56">
        <f t="shared" si="42"/>
        <v>7000</v>
      </c>
      <c r="Q85" s="420">
        <v>7000</v>
      </c>
      <c r="R85" s="420"/>
      <c r="S85" s="66">
        <v>7000</v>
      </c>
      <c r="T85" s="66">
        <f t="shared" si="40"/>
        <v>7000</v>
      </c>
      <c r="U85" s="66">
        <f t="shared" si="39"/>
        <v>14000</v>
      </c>
      <c r="V85" s="66">
        <f t="shared" si="38"/>
        <v>21000</v>
      </c>
      <c r="W85" s="62"/>
      <c r="X85" s="423"/>
      <c r="Y85" s="422"/>
      <c r="Z85" s="60">
        <v>14000</v>
      </c>
      <c r="AA85" s="68">
        <v>21000</v>
      </c>
    </row>
    <row r="86" spans="1:27">
      <c r="A86" s="562">
        <f t="shared" si="30"/>
        <v>295</v>
      </c>
      <c r="B86" s="502" t="s">
        <v>520</v>
      </c>
      <c r="C86" s="62"/>
      <c r="D86" s="62">
        <v>18900</v>
      </c>
      <c r="E86" s="62"/>
      <c r="F86" s="62">
        <v>6300</v>
      </c>
      <c r="G86" s="62">
        <v>6300</v>
      </c>
      <c r="H86" s="63"/>
      <c r="I86" s="62"/>
      <c r="J86" s="62">
        <v>6300</v>
      </c>
      <c r="K86" s="62">
        <f t="shared" si="41"/>
        <v>6300</v>
      </c>
      <c r="L86" s="56"/>
      <c r="M86" s="56">
        <v>6615</v>
      </c>
      <c r="N86" s="56">
        <f t="shared" si="36"/>
        <v>6615</v>
      </c>
      <c r="O86" s="312"/>
      <c r="P86" s="56">
        <f t="shared" si="42"/>
        <v>6615</v>
      </c>
      <c r="Q86" s="420">
        <v>6615</v>
      </c>
      <c r="R86" s="420"/>
      <c r="S86" s="66">
        <v>6615</v>
      </c>
      <c r="T86" s="66">
        <f t="shared" si="40"/>
        <v>6615</v>
      </c>
      <c r="U86" s="66">
        <f t="shared" si="39"/>
        <v>13230</v>
      </c>
      <c r="V86" s="66">
        <f t="shared" si="38"/>
        <v>19845</v>
      </c>
      <c r="W86" s="62"/>
      <c r="X86" s="423"/>
      <c r="Y86" s="422"/>
      <c r="Z86" s="60">
        <v>13230</v>
      </c>
      <c r="AA86" s="68">
        <v>18900</v>
      </c>
    </row>
    <row r="87" spans="1:27" s="434" customFormat="1">
      <c r="A87" s="588">
        <f t="shared" si="30"/>
        <v>296</v>
      </c>
      <c r="B87" s="589" t="s">
        <v>561</v>
      </c>
      <c r="C87" s="160">
        <f>SUM(C76:C86)</f>
        <v>282000</v>
      </c>
      <c r="D87" s="160">
        <f t="shared" ref="D87:N87" si="43">SUM(D77:D86)</f>
        <v>449800</v>
      </c>
      <c r="E87" s="160">
        <v>84260</v>
      </c>
      <c r="F87" s="160">
        <f t="shared" si="43"/>
        <v>130400</v>
      </c>
      <c r="G87" s="160">
        <f t="shared" si="43"/>
        <v>110300</v>
      </c>
      <c r="H87" s="385"/>
      <c r="I87" s="160">
        <f t="shared" si="43"/>
        <v>35000</v>
      </c>
      <c r="J87" s="160">
        <f t="shared" si="43"/>
        <v>124800</v>
      </c>
      <c r="K87" s="160">
        <f t="shared" si="43"/>
        <v>159800</v>
      </c>
      <c r="L87" s="386">
        <f t="shared" si="43"/>
        <v>35000</v>
      </c>
      <c r="M87" s="386">
        <f t="shared" si="43"/>
        <v>127115</v>
      </c>
      <c r="N87" s="386">
        <f t="shared" si="43"/>
        <v>162115</v>
      </c>
      <c r="O87" s="590"/>
      <c r="P87" s="386">
        <f t="shared" si="42"/>
        <v>162115</v>
      </c>
      <c r="Q87" s="388">
        <f>SUM(Q76:Q86)</f>
        <v>161365</v>
      </c>
      <c r="R87" s="388">
        <f t="shared" ref="R87:S87" si="44">SUM(R76:R86)</f>
        <v>35000</v>
      </c>
      <c r="S87" s="388">
        <f t="shared" si="44"/>
        <v>161365</v>
      </c>
      <c r="T87" s="388">
        <f>SUM(T76:T86)</f>
        <v>196365</v>
      </c>
      <c r="U87" s="388">
        <f>SUM(U76:U86)</f>
        <v>357730</v>
      </c>
      <c r="V87" s="388">
        <f t="shared" si="38"/>
        <v>519845</v>
      </c>
      <c r="W87" s="160">
        <f>E87+G87+K87</f>
        <v>354360</v>
      </c>
      <c r="X87" s="389">
        <v>0</v>
      </c>
      <c r="Y87" s="388">
        <f t="shared" ref="Y87" si="45">SUM(Y77:Y86)</f>
        <v>0</v>
      </c>
      <c r="Z87" s="390">
        <v>429230</v>
      </c>
      <c r="AA87" s="391">
        <v>449800</v>
      </c>
    </row>
    <row r="88" spans="1:27">
      <c r="A88" s="562">
        <f t="shared" si="30"/>
        <v>297</v>
      </c>
      <c r="B88" s="502"/>
      <c r="C88" s="62"/>
      <c r="D88" s="62"/>
      <c r="E88" s="62"/>
      <c r="F88" s="62"/>
      <c r="G88" s="62"/>
      <c r="H88" s="63"/>
      <c r="I88" s="62"/>
      <c r="J88" s="62"/>
      <c r="K88" s="62"/>
      <c r="L88" s="56"/>
      <c r="M88" s="56"/>
      <c r="N88" s="56">
        <f t="shared" ref="N88:N143" si="46">L88+M88</f>
        <v>0</v>
      </c>
      <c r="O88" s="312"/>
      <c r="P88" s="56">
        <f t="shared" si="42"/>
        <v>0</v>
      </c>
      <c r="Q88" s="422"/>
      <c r="R88" s="422"/>
      <c r="S88" s="422"/>
      <c r="T88" s="422"/>
      <c r="U88" s="422"/>
      <c r="V88" s="294">
        <f t="shared" si="38"/>
        <v>0</v>
      </c>
      <c r="W88" s="62"/>
      <c r="X88" s="423"/>
      <c r="Y88" s="422"/>
      <c r="Z88" s="60"/>
      <c r="AA88" s="297"/>
    </row>
    <row r="89" spans="1:27">
      <c r="A89" s="601">
        <f t="shared" si="30"/>
        <v>298</v>
      </c>
      <c r="B89" s="602" t="s">
        <v>562</v>
      </c>
      <c r="C89" s="62"/>
      <c r="D89" s="62"/>
      <c r="E89" s="62"/>
      <c r="F89" s="62"/>
      <c r="G89" s="62"/>
      <c r="H89" s="63"/>
      <c r="I89" s="62"/>
      <c r="J89" s="62"/>
      <c r="K89" s="62"/>
      <c r="L89" s="56"/>
      <c r="M89" s="56"/>
      <c r="N89" s="56">
        <f t="shared" si="46"/>
        <v>0</v>
      </c>
      <c r="O89" s="595"/>
      <c r="P89" s="56">
        <f t="shared" si="42"/>
        <v>0</v>
      </c>
      <c r="Q89" s="420"/>
      <c r="R89" s="422"/>
      <c r="S89" s="422"/>
      <c r="T89" s="422"/>
      <c r="U89" s="422"/>
      <c r="V89" s="294">
        <f t="shared" si="38"/>
        <v>0</v>
      </c>
      <c r="W89" s="62"/>
      <c r="X89" s="423"/>
      <c r="Y89" s="422"/>
      <c r="Z89" s="60"/>
      <c r="AA89" s="297"/>
    </row>
    <row r="90" spans="1:27">
      <c r="A90" s="562">
        <f t="shared" si="30"/>
        <v>299</v>
      </c>
      <c r="B90" s="502" t="s">
        <v>497</v>
      </c>
      <c r="C90" s="62"/>
      <c r="D90" s="62">
        <v>6000</v>
      </c>
      <c r="E90" s="62"/>
      <c r="F90" s="62">
        <v>0</v>
      </c>
      <c r="G90" s="62">
        <v>0</v>
      </c>
      <c r="H90" s="63"/>
      <c r="I90" s="62">
        <v>4000</v>
      </c>
      <c r="J90" s="62"/>
      <c r="K90" s="62">
        <v>4000</v>
      </c>
      <c r="L90" s="56">
        <v>4000</v>
      </c>
      <c r="M90" s="56"/>
      <c r="N90" s="56">
        <f t="shared" si="46"/>
        <v>4000</v>
      </c>
      <c r="O90" s="312"/>
      <c r="P90" s="56">
        <f t="shared" si="42"/>
        <v>4000</v>
      </c>
      <c r="Q90" s="420"/>
      <c r="R90" s="584">
        <v>4000</v>
      </c>
      <c r="S90" s="66"/>
      <c r="T90" s="66">
        <f t="shared" ref="T90:T99" si="47">R90+S90</f>
        <v>4000</v>
      </c>
      <c r="U90" s="66">
        <f>Q89+T90</f>
        <v>4000</v>
      </c>
      <c r="V90" s="66">
        <f t="shared" si="38"/>
        <v>8000</v>
      </c>
      <c r="W90" s="62"/>
      <c r="X90" s="423"/>
      <c r="Y90" s="422"/>
      <c r="Z90" s="60">
        <v>6000</v>
      </c>
      <c r="AA90" s="68">
        <v>4000</v>
      </c>
    </row>
    <row r="91" spans="1:27">
      <c r="A91" s="593">
        <f t="shared" si="30"/>
        <v>300</v>
      </c>
      <c r="B91" s="594" t="s">
        <v>280</v>
      </c>
      <c r="C91" s="62"/>
      <c r="D91" s="62">
        <v>13500</v>
      </c>
      <c r="E91" s="62"/>
      <c r="F91" s="62">
        <v>0</v>
      </c>
      <c r="G91" s="62">
        <v>0</v>
      </c>
      <c r="H91" s="63"/>
      <c r="I91" s="62"/>
      <c r="J91" s="62"/>
      <c r="K91" s="62"/>
      <c r="L91" s="56"/>
      <c r="M91" s="56">
        <v>0</v>
      </c>
      <c r="N91" s="56">
        <f t="shared" si="46"/>
        <v>0</v>
      </c>
      <c r="O91" s="312"/>
      <c r="P91" s="56">
        <f t="shared" si="42"/>
        <v>0</v>
      </c>
      <c r="Q91" s="420">
        <v>0</v>
      </c>
      <c r="R91" s="420"/>
      <c r="S91" s="66">
        <v>0</v>
      </c>
      <c r="T91" s="66">
        <f t="shared" si="47"/>
        <v>0</v>
      </c>
      <c r="U91" s="66">
        <f t="shared" ref="U91:U99" si="48">Q91+T91</f>
        <v>0</v>
      </c>
      <c r="V91" s="66">
        <f t="shared" si="38"/>
        <v>0</v>
      </c>
      <c r="W91" s="62"/>
      <c r="X91" s="423"/>
      <c r="Y91" s="422"/>
      <c r="Z91" s="60">
        <v>0</v>
      </c>
      <c r="AA91" s="68">
        <v>0</v>
      </c>
    </row>
    <row r="92" spans="1:27" ht="25.45" customHeight="1">
      <c r="A92" s="593">
        <f t="shared" si="30"/>
        <v>301</v>
      </c>
      <c r="B92" s="594" t="s">
        <v>443</v>
      </c>
      <c r="C92" s="62"/>
      <c r="D92" s="62">
        <v>18000</v>
      </c>
      <c r="E92" s="62"/>
      <c r="F92" s="62">
        <v>7500</v>
      </c>
      <c r="G92" s="62">
        <v>5500</v>
      </c>
      <c r="H92" s="63" t="s">
        <v>563</v>
      </c>
      <c r="I92" s="62"/>
      <c r="J92" s="62">
        <v>7500</v>
      </c>
      <c r="K92" s="62">
        <f>J92</f>
        <v>7500</v>
      </c>
      <c r="L92" s="56"/>
      <c r="M92" s="56">
        <v>7500</v>
      </c>
      <c r="N92" s="56">
        <f t="shared" si="46"/>
        <v>7500</v>
      </c>
      <c r="O92" s="312"/>
      <c r="P92" s="56">
        <f t="shared" si="42"/>
        <v>7500</v>
      </c>
      <c r="Q92" s="584">
        <v>3000</v>
      </c>
      <c r="R92" s="420"/>
      <c r="S92" s="586">
        <v>3000</v>
      </c>
      <c r="T92" s="66">
        <f t="shared" si="47"/>
        <v>3000</v>
      </c>
      <c r="U92" s="66">
        <f t="shared" si="48"/>
        <v>6000</v>
      </c>
      <c r="V92" s="66">
        <f t="shared" si="38"/>
        <v>13500</v>
      </c>
      <c r="W92" s="62"/>
      <c r="X92" s="600" t="s">
        <v>564</v>
      </c>
      <c r="Y92" s="422"/>
      <c r="Z92" s="60">
        <v>15000</v>
      </c>
      <c r="AA92" s="68">
        <v>18000</v>
      </c>
    </row>
    <row r="93" spans="1:27">
      <c r="A93" s="593">
        <f t="shared" si="30"/>
        <v>302</v>
      </c>
      <c r="B93" s="594" t="s">
        <v>565</v>
      </c>
      <c r="C93" s="62"/>
      <c r="D93" s="62">
        <v>3000</v>
      </c>
      <c r="E93" s="62"/>
      <c r="F93" s="62">
        <v>1000</v>
      </c>
      <c r="G93" s="62">
        <v>0</v>
      </c>
      <c r="H93" s="63"/>
      <c r="I93" s="62"/>
      <c r="J93" s="62">
        <v>1000</v>
      </c>
      <c r="K93" s="62">
        <f t="shared" ref="K93:K99" si="49">J93</f>
        <v>1000</v>
      </c>
      <c r="L93" s="56"/>
      <c r="M93" s="56">
        <v>1000</v>
      </c>
      <c r="N93" s="56">
        <f t="shared" si="46"/>
        <v>1000</v>
      </c>
      <c r="O93" s="312"/>
      <c r="P93" s="56">
        <f t="shared" si="42"/>
        <v>1000</v>
      </c>
      <c r="Q93" s="420">
        <v>1000</v>
      </c>
      <c r="R93" s="420"/>
      <c r="S93" s="66">
        <v>1000</v>
      </c>
      <c r="T93" s="66">
        <f t="shared" si="47"/>
        <v>1000</v>
      </c>
      <c r="U93" s="66">
        <f t="shared" si="48"/>
        <v>2000</v>
      </c>
      <c r="V93" s="66">
        <f t="shared" si="38"/>
        <v>3000</v>
      </c>
      <c r="W93" s="62"/>
      <c r="X93" s="423"/>
      <c r="Y93" s="422"/>
      <c r="Z93" s="60">
        <v>2000</v>
      </c>
      <c r="AA93" s="68">
        <v>3000</v>
      </c>
    </row>
    <row r="94" spans="1:27">
      <c r="A94" s="593">
        <f t="shared" si="30"/>
        <v>303</v>
      </c>
      <c r="B94" s="594" t="s">
        <v>566</v>
      </c>
      <c r="C94" s="62"/>
      <c r="D94" s="62">
        <v>30000</v>
      </c>
      <c r="E94" s="62"/>
      <c r="F94" s="62">
        <v>26700</v>
      </c>
      <c r="G94" s="62">
        <v>26700</v>
      </c>
      <c r="H94" s="63"/>
      <c r="I94" s="62"/>
      <c r="J94" s="62">
        <v>26700</v>
      </c>
      <c r="K94" s="62">
        <f t="shared" si="49"/>
        <v>26700</v>
      </c>
      <c r="L94" s="56"/>
      <c r="M94" s="56">
        <v>26500</v>
      </c>
      <c r="N94" s="56">
        <f t="shared" si="46"/>
        <v>26500</v>
      </c>
      <c r="O94" s="312"/>
      <c r="P94" s="56">
        <f t="shared" si="42"/>
        <v>26500</v>
      </c>
      <c r="Q94" s="420">
        <v>26500</v>
      </c>
      <c r="R94" s="420"/>
      <c r="S94" s="66">
        <v>26500</v>
      </c>
      <c r="T94" s="66">
        <f t="shared" si="47"/>
        <v>26500</v>
      </c>
      <c r="U94" s="66">
        <f t="shared" si="48"/>
        <v>53000</v>
      </c>
      <c r="V94" s="66">
        <f t="shared" si="38"/>
        <v>79500</v>
      </c>
      <c r="W94" s="62"/>
      <c r="X94" s="423"/>
      <c r="Y94" s="422"/>
      <c r="Z94" s="60">
        <v>53000</v>
      </c>
      <c r="AA94" s="68">
        <v>75000</v>
      </c>
    </row>
    <row r="95" spans="1:27">
      <c r="A95" s="593">
        <f t="shared" si="30"/>
        <v>304</v>
      </c>
      <c r="B95" s="594" t="s">
        <v>567</v>
      </c>
      <c r="C95" s="62"/>
      <c r="D95" s="62">
        <v>19200</v>
      </c>
      <c r="E95" s="62"/>
      <c r="F95" s="62">
        <v>0</v>
      </c>
      <c r="G95" s="62">
        <v>0</v>
      </c>
      <c r="H95" s="63"/>
      <c r="I95" s="62"/>
      <c r="J95" s="62"/>
      <c r="K95" s="62">
        <f t="shared" si="49"/>
        <v>0</v>
      </c>
      <c r="L95" s="56"/>
      <c r="M95" s="56">
        <v>0</v>
      </c>
      <c r="N95" s="56">
        <f t="shared" si="46"/>
        <v>0</v>
      </c>
      <c r="O95" s="312"/>
      <c r="P95" s="56">
        <f t="shared" si="42"/>
        <v>0</v>
      </c>
      <c r="Q95" s="420">
        <v>0</v>
      </c>
      <c r="R95" s="420"/>
      <c r="S95" s="66">
        <v>0</v>
      </c>
      <c r="T95" s="66">
        <f t="shared" si="47"/>
        <v>0</v>
      </c>
      <c r="U95" s="66">
        <f t="shared" si="48"/>
        <v>0</v>
      </c>
      <c r="V95" s="66">
        <f t="shared" si="38"/>
        <v>0</v>
      </c>
      <c r="W95" s="62"/>
      <c r="X95" s="423"/>
      <c r="Y95" s="422"/>
      <c r="Z95" s="60">
        <v>0</v>
      </c>
      <c r="AA95" s="68">
        <v>8700</v>
      </c>
    </row>
    <row r="96" spans="1:27">
      <c r="A96" s="593">
        <f t="shared" si="30"/>
        <v>305</v>
      </c>
      <c r="B96" s="594" t="s">
        <v>503</v>
      </c>
      <c r="C96" s="62"/>
      <c r="D96" s="62">
        <v>3000</v>
      </c>
      <c r="E96" s="62"/>
      <c r="F96" s="62">
        <v>1000</v>
      </c>
      <c r="G96" s="62">
        <v>1000</v>
      </c>
      <c r="H96" s="63"/>
      <c r="I96" s="62"/>
      <c r="J96" s="62">
        <v>1000</v>
      </c>
      <c r="K96" s="62">
        <f t="shared" si="49"/>
        <v>1000</v>
      </c>
      <c r="L96" s="56"/>
      <c r="M96" s="56">
        <v>1000</v>
      </c>
      <c r="N96" s="56">
        <f t="shared" si="46"/>
        <v>1000</v>
      </c>
      <c r="O96" s="312"/>
      <c r="P96" s="56">
        <f t="shared" si="42"/>
        <v>1000</v>
      </c>
      <c r="Q96" s="420">
        <v>1000</v>
      </c>
      <c r="R96" s="420"/>
      <c r="S96" s="66">
        <v>1000</v>
      </c>
      <c r="T96" s="66">
        <f t="shared" si="47"/>
        <v>1000</v>
      </c>
      <c r="U96" s="66">
        <f t="shared" si="48"/>
        <v>2000</v>
      </c>
      <c r="V96" s="66">
        <f t="shared" si="38"/>
        <v>3000</v>
      </c>
      <c r="W96" s="62"/>
      <c r="X96" s="423"/>
      <c r="Y96" s="422"/>
      <c r="Z96" s="60">
        <v>2000</v>
      </c>
      <c r="AA96" s="68">
        <v>3000</v>
      </c>
    </row>
    <row r="97" spans="1:27">
      <c r="A97" s="593">
        <f t="shared" si="30"/>
        <v>306</v>
      </c>
      <c r="B97" s="594" t="s">
        <v>518</v>
      </c>
      <c r="C97" s="62"/>
      <c r="D97" s="62">
        <v>3000</v>
      </c>
      <c r="E97" s="62"/>
      <c r="F97" s="62">
        <v>0</v>
      </c>
      <c r="G97" s="62">
        <v>0</v>
      </c>
      <c r="H97" s="63"/>
      <c r="I97" s="62"/>
      <c r="J97" s="62"/>
      <c r="K97" s="62">
        <f t="shared" si="49"/>
        <v>0</v>
      </c>
      <c r="L97" s="56"/>
      <c r="M97" s="56">
        <v>125</v>
      </c>
      <c r="N97" s="56">
        <f t="shared" si="46"/>
        <v>125</v>
      </c>
      <c r="O97" s="312"/>
      <c r="P97" s="56">
        <f t="shared" si="42"/>
        <v>125</v>
      </c>
      <c r="Q97" s="420">
        <v>125</v>
      </c>
      <c r="R97" s="420"/>
      <c r="S97" s="66">
        <v>125</v>
      </c>
      <c r="T97" s="66">
        <f t="shared" si="47"/>
        <v>125</v>
      </c>
      <c r="U97" s="66">
        <f t="shared" si="48"/>
        <v>250</v>
      </c>
      <c r="V97" s="66">
        <f t="shared" si="38"/>
        <v>375</v>
      </c>
      <c r="W97" s="62"/>
      <c r="X97" s="423"/>
      <c r="Y97" s="422"/>
      <c r="Z97" s="60">
        <v>250</v>
      </c>
      <c r="AA97" s="68">
        <v>3000</v>
      </c>
    </row>
    <row r="98" spans="1:27">
      <c r="A98" s="593">
        <f t="shared" si="30"/>
        <v>307</v>
      </c>
      <c r="B98" s="594" t="s">
        <v>533</v>
      </c>
      <c r="C98" s="62"/>
      <c r="D98" s="62">
        <v>6000</v>
      </c>
      <c r="E98" s="62"/>
      <c r="F98" s="62">
        <v>3500</v>
      </c>
      <c r="G98" s="62">
        <v>1500</v>
      </c>
      <c r="H98" s="63"/>
      <c r="I98" s="62"/>
      <c r="J98" s="62">
        <v>3500</v>
      </c>
      <c r="K98" s="62">
        <f t="shared" si="49"/>
        <v>3500</v>
      </c>
      <c r="L98" s="56"/>
      <c r="M98" s="56">
        <v>500</v>
      </c>
      <c r="N98" s="56">
        <f t="shared" si="46"/>
        <v>500</v>
      </c>
      <c r="O98" s="312"/>
      <c r="P98" s="56">
        <f t="shared" si="42"/>
        <v>500</v>
      </c>
      <c r="Q98" s="420">
        <v>500</v>
      </c>
      <c r="R98" s="420"/>
      <c r="S98" s="66">
        <v>500</v>
      </c>
      <c r="T98" s="66">
        <f t="shared" si="47"/>
        <v>500</v>
      </c>
      <c r="U98" s="66">
        <f t="shared" si="48"/>
        <v>1000</v>
      </c>
      <c r="V98" s="66">
        <f t="shared" si="38"/>
        <v>1500</v>
      </c>
      <c r="W98" s="62"/>
      <c r="X98" s="423"/>
      <c r="Y98" s="422"/>
      <c r="Z98" s="60">
        <v>1000</v>
      </c>
      <c r="AA98" s="68">
        <v>6000</v>
      </c>
    </row>
    <row r="99" spans="1:27">
      <c r="A99" s="562">
        <f t="shared" si="30"/>
        <v>308</v>
      </c>
      <c r="B99" s="502" t="s">
        <v>520</v>
      </c>
      <c r="C99" s="62"/>
      <c r="D99" s="62">
        <v>9000</v>
      </c>
      <c r="E99" s="62"/>
      <c r="F99" s="62">
        <v>3000</v>
      </c>
      <c r="G99" s="62">
        <v>3000</v>
      </c>
      <c r="H99" s="603"/>
      <c r="I99" s="62"/>
      <c r="J99" s="62">
        <v>3000</v>
      </c>
      <c r="K99" s="62">
        <f t="shared" si="49"/>
        <v>3000</v>
      </c>
      <c r="L99" s="56"/>
      <c r="M99" s="56">
        <v>2500</v>
      </c>
      <c r="N99" s="56">
        <f t="shared" si="46"/>
        <v>2500</v>
      </c>
      <c r="O99" s="312"/>
      <c r="P99" s="56">
        <f t="shared" si="42"/>
        <v>2500</v>
      </c>
      <c r="Q99" s="420">
        <v>2500</v>
      </c>
      <c r="R99" s="420"/>
      <c r="S99" s="66">
        <v>2500</v>
      </c>
      <c r="T99" s="66">
        <f t="shared" si="47"/>
        <v>2500</v>
      </c>
      <c r="U99" s="66">
        <f t="shared" si="48"/>
        <v>5000</v>
      </c>
      <c r="V99" s="66">
        <f t="shared" si="38"/>
        <v>7500</v>
      </c>
      <c r="W99" s="62"/>
      <c r="X99" s="423"/>
      <c r="Y99" s="422"/>
      <c r="Z99" s="60">
        <v>5000</v>
      </c>
      <c r="AA99" s="68">
        <v>9000</v>
      </c>
    </row>
    <row r="100" spans="1:27" s="434" customFormat="1">
      <c r="A100" s="588">
        <f t="shared" si="30"/>
        <v>309</v>
      </c>
      <c r="B100" s="589" t="s">
        <v>568</v>
      </c>
      <c r="C100" s="160"/>
      <c r="D100" s="160">
        <v>110700</v>
      </c>
      <c r="E100" s="160">
        <v>25718</v>
      </c>
      <c r="F100" s="160">
        <f t="shared" ref="F100:N100" si="50">SUM(F90:F99)</f>
        <v>42700</v>
      </c>
      <c r="G100" s="160">
        <f t="shared" si="50"/>
        <v>37700</v>
      </c>
      <c r="H100" s="415"/>
      <c r="I100" s="160">
        <f t="shared" si="50"/>
        <v>4000</v>
      </c>
      <c r="J100" s="160">
        <f t="shared" si="50"/>
        <v>42700</v>
      </c>
      <c r="K100" s="160">
        <f t="shared" si="50"/>
        <v>46700</v>
      </c>
      <c r="L100" s="386">
        <f t="shared" si="50"/>
        <v>4000</v>
      </c>
      <c r="M100" s="386">
        <f t="shared" si="50"/>
        <v>39125</v>
      </c>
      <c r="N100" s="386">
        <f t="shared" si="50"/>
        <v>43125</v>
      </c>
      <c r="O100" s="590"/>
      <c r="P100" s="386">
        <f t="shared" si="42"/>
        <v>43125</v>
      </c>
      <c r="Q100" s="388">
        <f>SUM(Q89:Q99)</f>
        <v>34625</v>
      </c>
      <c r="R100" s="388">
        <f t="shared" ref="R100:V100" si="51">SUM(R89:R99)</f>
        <v>4000</v>
      </c>
      <c r="S100" s="388">
        <f t="shared" si="51"/>
        <v>34625</v>
      </c>
      <c r="T100" s="388">
        <f t="shared" si="51"/>
        <v>38625</v>
      </c>
      <c r="U100" s="388">
        <f t="shared" si="51"/>
        <v>73250</v>
      </c>
      <c r="V100" s="388">
        <f t="shared" si="51"/>
        <v>116375</v>
      </c>
      <c r="W100" s="160">
        <f>E100+G100+K100</f>
        <v>110118</v>
      </c>
      <c r="X100" s="389">
        <v>0</v>
      </c>
      <c r="Y100" s="388">
        <f t="shared" ref="Y100" si="52">SUM(Y90:Y99)</f>
        <v>0</v>
      </c>
      <c r="Z100" s="390">
        <v>84250</v>
      </c>
      <c r="AA100" s="391">
        <v>129700</v>
      </c>
    </row>
    <row r="101" spans="1:27">
      <c r="A101" s="562">
        <f t="shared" si="30"/>
        <v>310</v>
      </c>
      <c r="B101" s="502"/>
      <c r="C101" s="62"/>
      <c r="D101" s="62"/>
      <c r="E101" s="62"/>
      <c r="F101" s="62"/>
      <c r="G101" s="62"/>
      <c r="H101" s="63"/>
      <c r="I101" s="62"/>
      <c r="J101" s="62"/>
      <c r="K101" s="62"/>
      <c r="L101" s="56"/>
      <c r="M101" s="56"/>
      <c r="N101" s="56">
        <f t="shared" si="46"/>
        <v>0</v>
      </c>
      <c r="O101" s="312"/>
      <c r="P101" s="56">
        <f t="shared" si="42"/>
        <v>0</v>
      </c>
      <c r="Q101" s="422"/>
      <c r="R101" s="422"/>
      <c r="S101" s="422"/>
      <c r="T101" s="422"/>
      <c r="U101" s="422"/>
      <c r="V101" s="294">
        <f t="shared" si="38"/>
        <v>0</v>
      </c>
      <c r="W101" s="62"/>
      <c r="X101" s="423"/>
      <c r="Y101" s="422"/>
      <c r="Z101" s="60"/>
      <c r="AA101" s="297"/>
    </row>
    <row r="102" spans="1:27">
      <c r="A102" s="495">
        <f t="shared" si="30"/>
        <v>311</v>
      </c>
      <c r="B102" s="504" t="s">
        <v>569</v>
      </c>
      <c r="C102" s="62">
        <f>92100+750000</f>
        <v>842100</v>
      </c>
      <c r="D102" s="62"/>
      <c r="E102" s="62"/>
      <c r="F102" s="62"/>
      <c r="G102" s="62"/>
      <c r="H102" s="63"/>
      <c r="I102" s="62"/>
      <c r="J102" s="62"/>
      <c r="K102" s="62"/>
      <c r="L102" s="56"/>
      <c r="M102" s="56"/>
      <c r="N102" s="56">
        <f t="shared" si="46"/>
        <v>0</v>
      </c>
      <c r="O102" s="332"/>
      <c r="P102" s="56">
        <f t="shared" si="42"/>
        <v>0</v>
      </c>
      <c r="Q102" s="422"/>
      <c r="R102" s="422"/>
      <c r="S102" s="422"/>
      <c r="T102" s="422"/>
      <c r="U102" s="422"/>
      <c r="V102" s="294">
        <f t="shared" si="38"/>
        <v>0</v>
      </c>
      <c r="W102" s="62"/>
      <c r="X102" s="423"/>
      <c r="Y102" s="422"/>
      <c r="Z102" s="60"/>
      <c r="AA102" s="297"/>
    </row>
    <row r="103" spans="1:27" ht="27.4" customHeight="1">
      <c r="A103" s="562">
        <f t="shared" si="30"/>
        <v>312</v>
      </c>
      <c r="B103" s="502" t="s">
        <v>570</v>
      </c>
      <c r="C103" s="62"/>
      <c r="D103" s="62">
        <v>100000</v>
      </c>
      <c r="E103" s="62"/>
      <c r="F103" s="62"/>
      <c r="G103" s="62"/>
      <c r="H103" s="63"/>
      <c r="I103" s="62"/>
      <c r="J103" s="62"/>
      <c r="K103" s="62"/>
      <c r="L103" s="56"/>
      <c r="M103" s="56"/>
      <c r="N103" s="56">
        <f t="shared" si="46"/>
        <v>0</v>
      </c>
      <c r="O103" s="604"/>
      <c r="P103" s="56">
        <f t="shared" si="42"/>
        <v>0</v>
      </c>
      <c r="Q103" s="420">
        <v>0</v>
      </c>
      <c r="R103" s="420"/>
      <c r="S103" s="66">
        <v>0</v>
      </c>
      <c r="T103" s="66">
        <f t="shared" ref="T103:T126" si="53">R103+S103</f>
        <v>0</v>
      </c>
      <c r="U103" s="66">
        <f t="shared" ref="U103:U126" si="54">Q103+T103</f>
        <v>0</v>
      </c>
      <c r="V103" s="66">
        <f t="shared" si="38"/>
        <v>0</v>
      </c>
      <c r="W103" s="62"/>
      <c r="X103" s="423"/>
      <c r="Y103" s="422"/>
      <c r="Z103" s="60">
        <v>0</v>
      </c>
      <c r="AA103" s="68">
        <v>0</v>
      </c>
    </row>
    <row r="104" spans="1:27">
      <c r="A104" s="562">
        <f t="shared" si="30"/>
        <v>313</v>
      </c>
      <c r="B104" s="502" t="s">
        <v>571</v>
      </c>
      <c r="C104" s="62"/>
      <c r="D104" s="62">
        <v>75000</v>
      </c>
      <c r="E104" s="62"/>
      <c r="F104" s="62">
        <v>5000</v>
      </c>
      <c r="G104" s="62">
        <f>5000*0.65</f>
        <v>3250</v>
      </c>
      <c r="H104" s="63"/>
      <c r="I104" s="62"/>
      <c r="J104" s="62">
        <v>5000</v>
      </c>
      <c r="K104" s="62">
        <f>J104</f>
        <v>5000</v>
      </c>
      <c r="L104" s="56"/>
      <c r="M104" s="56">
        <v>10000</v>
      </c>
      <c r="N104" s="56">
        <f t="shared" si="46"/>
        <v>10000</v>
      </c>
      <c r="O104" s="332" t="s">
        <v>572</v>
      </c>
      <c r="P104" s="56">
        <f t="shared" si="42"/>
        <v>10000</v>
      </c>
      <c r="Q104" s="420">
        <v>10000</v>
      </c>
      <c r="R104" s="420"/>
      <c r="S104" s="66">
        <v>10000</v>
      </c>
      <c r="T104" s="66">
        <f t="shared" si="53"/>
        <v>10000</v>
      </c>
      <c r="U104" s="66">
        <f t="shared" si="54"/>
        <v>20000</v>
      </c>
      <c r="V104" s="66">
        <f t="shared" si="38"/>
        <v>30000</v>
      </c>
      <c r="W104" s="62"/>
      <c r="X104" s="423"/>
      <c r="Y104" s="422"/>
      <c r="Z104" s="60">
        <v>20000</v>
      </c>
      <c r="AA104" s="68">
        <v>75000</v>
      </c>
    </row>
    <row r="105" spans="1:27">
      <c r="A105" s="562">
        <f t="shared" si="30"/>
        <v>314</v>
      </c>
      <c r="B105" s="502"/>
      <c r="C105" s="62"/>
      <c r="D105" s="62"/>
      <c r="E105" s="62"/>
      <c r="F105" s="62">
        <v>0</v>
      </c>
      <c r="G105" s="62">
        <v>0</v>
      </c>
      <c r="H105" s="63"/>
      <c r="I105" s="62"/>
      <c r="J105" s="62"/>
      <c r="K105" s="62">
        <f t="shared" ref="K105:K126" si="55">J105</f>
        <v>0</v>
      </c>
      <c r="L105" s="56"/>
      <c r="M105" s="56"/>
      <c r="N105" s="56">
        <f t="shared" si="46"/>
        <v>0</v>
      </c>
      <c r="O105" s="332"/>
      <c r="P105" s="56">
        <f t="shared" si="42"/>
        <v>0</v>
      </c>
      <c r="Q105" s="420"/>
      <c r="R105" s="420"/>
      <c r="S105" s="66"/>
      <c r="T105" s="66">
        <f t="shared" si="53"/>
        <v>0</v>
      </c>
      <c r="U105" s="66">
        <f t="shared" si="54"/>
        <v>0</v>
      </c>
      <c r="V105" s="66">
        <f t="shared" si="38"/>
        <v>0</v>
      </c>
      <c r="W105" s="62"/>
      <c r="X105" s="423"/>
      <c r="Y105" s="422"/>
      <c r="Z105" s="60">
        <v>0</v>
      </c>
      <c r="AA105" s="68">
        <v>0</v>
      </c>
    </row>
    <row r="106" spans="1:27">
      <c r="A106" s="562">
        <f t="shared" si="30"/>
        <v>315</v>
      </c>
      <c r="B106" s="502" t="s">
        <v>573</v>
      </c>
      <c r="C106" s="62"/>
      <c r="D106" s="62">
        <v>55000</v>
      </c>
      <c r="E106" s="62"/>
      <c r="F106" s="62">
        <v>0</v>
      </c>
      <c r="G106" s="62">
        <v>0</v>
      </c>
      <c r="H106" s="63"/>
      <c r="I106" s="62"/>
      <c r="J106" s="62"/>
      <c r="K106" s="62">
        <f t="shared" si="55"/>
        <v>0</v>
      </c>
      <c r="L106" s="56"/>
      <c r="M106" s="56"/>
      <c r="N106" s="56">
        <f t="shared" si="46"/>
        <v>0</v>
      </c>
      <c r="O106" s="332"/>
      <c r="P106" s="56">
        <f t="shared" si="42"/>
        <v>0</v>
      </c>
      <c r="Q106" s="420">
        <v>0</v>
      </c>
      <c r="R106" s="420"/>
      <c r="S106" s="66">
        <v>0</v>
      </c>
      <c r="T106" s="66">
        <f t="shared" si="53"/>
        <v>0</v>
      </c>
      <c r="U106" s="66">
        <f t="shared" si="54"/>
        <v>0</v>
      </c>
      <c r="V106" s="66">
        <f t="shared" si="38"/>
        <v>0</v>
      </c>
      <c r="W106" s="62"/>
      <c r="X106" s="423"/>
      <c r="Y106" s="422"/>
      <c r="Z106" s="60">
        <v>0</v>
      </c>
      <c r="AA106" s="68">
        <v>0</v>
      </c>
    </row>
    <row r="107" spans="1:27">
      <c r="A107" s="562">
        <f t="shared" si="30"/>
        <v>316</v>
      </c>
      <c r="B107" s="502" t="s">
        <v>574</v>
      </c>
      <c r="C107" s="62"/>
      <c r="D107" s="62">
        <v>45000</v>
      </c>
      <c r="E107" s="62"/>
      <c r="F107" s="62">
        <v>5000</v>
      </c>
      <c r="G107" s="62">
        <f>5000*0.65</f>
        <v>3250</v>
      </c>
      <c r="H107" s="63"/>
      <c r="I107" s="62"/>
      <c r="J107" s="62">
        <v>5000</v>
      </c>
      <c r="K107" s="62">
        <f t="shared" si="55"/>
        <v>5000</v>
      </c>
      <c r="L107" s="56"/>
      <c r="M107" s="56">
        <v>15000</v>
      </c>
      <c r="N107" s="56">
        <f t="shared" si="46"/>
        <v>15000</v>
      </c>
      <c r="O107" s="332"/>
      <c r="P107" s="56">
        <f t="shared" si="42"/>
        <v>15000</v>
      </c>
      <c r="Q107" s="420">
        <v>15000</v>
      </c>
      <c r="R107" s="420"/>
      <c r="S107" s="66">
        <v>15000</v>
      </c>
      <c r="T107" s="66">
        <f t="shared" si="53"/>
        <v>15000</v>
      </c>
      <c r="U107" s="66">
        <f t="shared" si="54"/>
        <v>30000</v>
      </c>
      <c r="V107" s="66">
        <f t="shared" si="38"/>
        <v>45000</v>
      </c>
      <c r="W107" s="62"/>
      <c r="X107" s="423"/>
      <c r="Y107" s="422"/>
      <c r="Z107" s="60">
        <v>30000</v>
      </c>
      <c r="AA107" s="68">
        <v>45000</v>
      </c>
    </row>
    <row r="108" spans="1:27">
      <c r="A108" s="562">
        <f t="shared" si="30"/>
        <v>317</v>
      </c>
      <c r="B108" s="502" t="s">
        <v>575</v>
      </c>
      <c r="C108" s="62"/>
      <c r="D108" s="62">
        <v>60000</v>
      </c>
      <c r="E108" s="62"/>
      <c r="F108" s="62">
        <v>10000</v>
      </c>
      <c r="G108" s="62">
        <v>7500</v>
      </c>
      <c r="H108" s="63"/>
      <c r="I108" s="62"/>
      <c r="J108" s="62">
        <v>20000</v>
      </c>
      <c r="K108" s="62">
        <f t="shared" si="55"/>
        <v>20000</v>
      </c>
      <c r="L108" s="56"/>
      <c r="M108" s="56">
        <v>35000</v>
      </c>
      <c r="N108" s="56">
        <f t="shared" si="46"/>
        <v>35000</v>
      </c>
      <c r="O108" s="332"/>
      <c r="P108" s="56">
        <f t="shared" si="42"/>
        <v>35000</v>
      </c>
      <c r="Q108" s="584">
        <v>0</v>
      </c>
      <c r="R108" s="420"/>
      <c r="S108" s="586"/>
      <c r="T108" s="66">
        <f t="shared" si="53"/>
        <v>0</v>
      </c>
      <c r="U108" s="66">
        <f t="shared" si="54"/>
        <v>0</v>
      </c>
      <c r="V108" s="66">
        <f t="shared" si="38"/>
        <v>35000</v>
      </c>
      <c r="W108" s="62"/>
      <c r="X108" s="423"/>
      <c r="Y108" s="422" t="s">
        <v>576</v>
      </c>
      <c r="Z108" s="60">
        <v>0</v>
      </c>
      <c r="AA108" s="68">
        <v>60000</v>
      </c>
    </row>
    <row r="109" spans="1:27">
      <c r="A109" s="562">
        <f t="shared" si="30"/>
        <v>318</v>
      </c>
      <c r="B109" s="502" t="s">
        <v>577</v>
      </c>
      <c r="C109" s="62"/>
      <c r="D109" s="62">
        <v>30000</v>
      </c>
      <c r="E109" s="62"/>
      <c r="F109" s="62">
        <v>0</v>
      </c>
      <c r="G109" s="62">
        <v>0</v>
      </c>
      <c r="H109" s="63"/>
      <c r="I109" s="62"/>
      <c r="J109" s="62">
        <v>0</v>
      </c>
      <c r="K109" s="62">
        <f t="shared" si="55"/>
        <v>0</v>
      </c>
      <c r="L109" s="56"/>
      <c r="M109" s="56"/>
      <c r="N109" s="56">
        <f t="shared" si="46"/>
        <v>0</v>
      </c>
      <c r="O109" s="332"/>
      <c r="P109" s="56">
        <f t="shared" si="42"/>
        <v>0</v>
      </c>
      <c r="Q109" s="420">
        <v>0</v>
      </c>
      <c r="R109" s="420"/>
      <c r="S109" s="66">
        <v>0</v>
      </c>
      <c r="T109" s="66">
        <f t="shared" si="53"/>
        <v>0</v>
      </c>
      <c r="U109" s="66">
        <f t="shared" si="54"/>
        <v>0</v>
      </c>
      <c r="V109" s="66">
        <f t="shared" si="38"/>
        <v>0</v>
      </c>
      <c r="W109" s="62"/>
      <c r="X109" s="423"/>
      <c r="Y109" s="422"/>
      <c r="Z109" s="60">
        <v>0</v>
      </c>
      <c r="AA109" s="68">
        <v>9000</v>
      </c>
    </row>
    <row r="110" spans="1:27" ht="28.5">
      <c r="A110" s="562">
        <f t="shared" si="30"/>
        <v>319</v>
      </c>
      <c r="B110" s="502" t="s">
        <v>578</v>
      </c>
      <c r="C110" s="62"/>
      <c r="D110" s="62">
        <v>40000</v>
      </c>
      <c r="E110" s="62"/>
      <c r="F110" s="62">
        <v>18311</v>
      </c>
      <c r="G110" s="62">
        <v>18311</v>
      </c>
      <c r="H110" s="63"/>
      <c r="I110" s="62"/>
      <c r="J110" s="62">
        <v>13334</v>
      </c>
      <c r="K110" s="62">
        <f t="shared" si="55"/>
        <v>13334</v>
      </c>
      <c r="L110" s="56"/>
      <c r="M110" s="56">
        <v>13334</v>
      </c>
      <c r="N110" s="56">
        <f t="shared" si="46"/>
        <v>13334</v>
      </c>
      <c r="O110" s="332"/>
      <c r="P110" s="56">
        <f t="shared" si="42"/>
        <v>13334</v>
      </c>
      <c r="Q110" s="420">
        <v>13334</v>
      </c>
      <c r="R110" s="420"/>
      <c r="S110" s="66">
        <v>13334</v>
      </c>
      <c r="T110" s="66">
        <f t="shared" si="53"/>
        <v>13334</v>
      </c>
      <c r="U110" s="66">
        <f t="shared" si="54"/>
        <v>26668</v>
      </c>
      <c r="V110" s="66">
        <f t="shared" si="38"/>
        <v>40002</v>
      </c>
      <c r="W110" s="62"/>
      <c r="X110" s="423" t="s">
        <v>579</v>
      </c>
      <c r="Y110" s="422"/>
      <c r="Z110" s="60">
        <v>26668</v>
      </c>
      <c r="AA110" s="68">
        <v>40000</v>
      </c>
    </row>
    <row r="111" spans="1:27">
      <c r="A111" s="562">
        <f t="shared" si="30"/>
        <v>320</v>
      </c>
      <c r="B111" s="502" t="s">
        <v>580</v>
      </c>
      <c r="C111" s="62"/>
      <c r="D111" s="62">
        <v>60000</v>
      </c>
      <c r="E111" s="62"/>
      <c r="F111" s="62">
        <v>0</v>
      </c>
      <c r="G111" s="62">
        <v>0</v>
      </c>
      <c r="H111" s="63"/>
      <c r="I111" s="62"/>
      <c r="J111" s="62">
        <v>0</v>
      </c>
      <c r="K111" s="62">
        <f t="shared" si="55"/>
        <v>0</v>
      </c>
      <c r="L111" s="56"/>
      <c r="M111" s="56"/>
      <c r="N111" s="56">
        <f t="shared" si="46"/>
        <v>0</v>
      </c>
      <c r="O111" s="332"/>
      <c r="P111" s="56">
        <f t="shared" si="42"/>
        <v>0</v>
      </c>
      <c r="Q111" s="420">
        <v>0</v>
      </c>
      <c r="R111" s="420"/>
      <c r="S111" s="66">
        <v>0</v>
      </c>
      <c r="T111" s="66">
        <f t="shared" si="53"/>
        <v>0</v>
      </c>
      <c r="U111" s="66">
        <f t="shared" si="54"/>
        <v>0</v>
      </c>
      <c r="V111" s="66">
        <f t="shared" si="38"/>
        <v>0</v>
      </c>
      <c r="W111" s="62"/>
      <c r="X111" s="423"/>
      <c r="Y111" s="422"/>
      <c r="Z111" s="60">
        <v>0</v>
      </c>
      <c r="AA111" s="68">
        <v>30000</v>
      </c>
    </row>
    <row r="112" spans="1:27">
      <c r="A112" s="562">
        <f t="shared" si="30"/>
        <v>321</v>
      </c>
      <c r="B112" s="502" t="s">
        <v>581</v>
      </c>
      <c r="C112" s="62"/>
      <c r="D112" s="62">
        <v>45000</v>
      </c>
      <c r="E112" s="62"/>
      <c r="F112" s="62">
        <v>10000</v>
      </c>
      <c r="G112" s="62">
        <v>3000</v>
      </c>
      <c r="H112" s="63"/>
      <c r="I112" s="62"/>
      <c r="J112" s="62">
        <v>20000</v>
      </c>
      <c r="K112" s="62">
        <f t="shared" si="55"/>
        <v>20000</v>
      </c>
      <c r="L112" s="56"/>
      <c r="M112" s="56">
        <v>40000</v>
      </c>
      <c r="N112" s="56">
        <f t="shared" si="46"/>
        <v>40000</v>
      </c>
      <c r="O112" s="332"/>
      <c r="P112" s="56">
        <f t="shared" si="42"/>
        <v>40000</v>
      </c>
      <c r="Q112" s="420">
        <v>40000</v>
      </c>
      <c r="R112" s="420"/>
      <c r="S112" s="66">
        <v>40000</v>
      </c>
      <c r="T112" s="66">
        <f t="shared" si="53"/>
        <v>40000</v>
      </c>
      <c r="U112" s="66">
        <f t="shared" si="54"/>
        <v>80000</v>
      </c>
      <c r="V112" s="66">
        <f t="shared" si="38"/>
        <v>120000</v>
      </c>
      <c r="W112" s="62"/>
      <c r="X112" s="423"/>
      <c r="Y112" s="422"/>
      <c r="Z112" s="60">
        <v>80000</v>
      </c>
      <c r="AA112" s="68">
        <v>60000</v>
      </c>
    </row>
    <row r="113" spans="1:27">
      <c r="A113" s="562">
        <f t="shared" si="30"/>
        <v>322</v>
      </c>
      <c r="B113" s="502" t="s">
        <v>497</v>
      </c>
      <c r="C113" s="62"/>
      <c r="D113" s="62">
        <v>20000</v>
      </c>
      <c r="E113" s="62"/>
      <c r="F113" s="62">
        <v>0</v>
      </c>
      <c r="G113" s="62">
        <v>0</v>
      </c>
      <c r="H113" s="63"/>
      <c r="I113" s="62">
        <v>30000</v>
      </c>
      <c r="J113" s="62"/>
      <c r="K113" s="62">
        <f>I113</f>
        <v>30000</v>
      </c>
      <c r="L113" s="56">
        <v>30000</v>
      </c>
      <c r="M113" s="56"/>
      <c r="N113" s="56">
        <f t="shared" si="46"/>
        <v>30000</v>
      </c>
      <c r="O113" s="332"/>
      <c r="P113" s="56">
        <f t="shared" si="42"/>
        <v>30000</v>
      </c>
      <c r="Q113" s="420"/>
      <c r="R113" s="420">
        <v>30000</v>
      </c>
      <c r="S113" s="66"/>
      <c r="T113" s="66">
        <f t="shared" si="53"/>
        <v>30000</v>
      </c>
      <c r="U113" s="66">
        <f t="shared" si="54"/>
        <v>30000</v>
      </c>
      <c r="V113" s="66">
        <f t="shared" si="38"/>
        <v>60000</v>
      </c>
      <c r="W113" s="62"/>
      <c r="X113" s="423"/>
      <c r="Y113" s="422"/>
      <c r="Z113" s="60">
        <v>30000</v>
      </c>
      <c r="AA113" s="68">
        <v>20000</v>
      </c>
    </row>
    <row r="114" spans="1:27">
      <c r="A114" s="593">
        <f t="shared" si="30"/>
        <v>323</v>
      </c>
      <c r="B114" s="594" t="s">
        <v>582</v>
      </c>
      <c r="C114" s="62"/>
      <c r="D114" s="62">
        <v>15000</v>
      </c>
      <c r="E114" s="62"/>
      <c r="F114" s="62">
        <v>2000</v>
      </c>
      <c r="G114" s="62">
        <v>500</v>
      </c>
      <c r="H114" s="63"/>
      <c r="I114" s="62"/>
      <c r="J114" s="62">
        <v>2000</v>
      </c>
      <c r="K114" s="62">
        <f t="shared" si="55"/>
        <v>2000</v>
      </c>
      <c r="L114" s="56"/>
      <c r="M114" s="56">
        <v>2500</v>
      </c>
      <c r="N114" s="56">
        <f t="shared" si="46"/>
        <v>2500</v>
      </c>
      <c r="O114" s="332"/>
      <c r="P114" s="56">
        <f t="shared" si="42"/>
        <v>2500</v>
      </c>
      <c r="Q114" s="420">
        <v>2500</v>
      </c>
      <c r="R114" s="420"/>
      <c r="S114" s="66">
        <v>2500</v>
      </c>
      <c r="T114" s="66">
        <f t="shared" si="53"/>
        <v>2500</v>
      </c>
      <c r="U114" s="66">
        <f t="shared" si="54"/>
        <v>5000</v>
      </c>
      <c r="V114" s="66">
        <f t="shared" si="38"/>
        <v>7500</v>
      </c>
      <c r="W114" s="62"/>
      <c r="X114" s="423"/>
      <c r="Y114" s="422"/>
      <c r="Z114" s="60">
        <v>5000</v>
      </c>
      <c r="AA114" s="68">
        <v>7500</v>
      </c>
    </row>
    <row r="115" spans="1:27">
      <c r="A115" s="593">
        <f t="shared" si="30"/>
        <v>324</v>
      </c>
      <c r="B115" s="594" t="s">
        <v>280</v>
      </c>
      <c r="C115" s="62"/>
      <c r="D115" s="62">
        <v>45000</v>
      </c>
      <c r="E115" s="62"/>
      <c r="F115" s="62">
        <v>50000</v>
      </c>
      <c r="G115" s="62">
        <v>25000</v>
      </c>
      <c r="H115" s="63"/>
      <c r="I115" s="62"/>
      <c r="J115" s="62">
        <v>30000</v>
      </c>
      <c r="K115" s="62">
        <f t="shared" si="55"/>
        <v>30000</v>
      </c>
      <c r="L115" s="56"/>
      <c r="M115" s="56">
        <v>40000</v>
      </c>
      <c r="N115" s="56">
        <f t="shared" si="46"/>
        <v>40000</v>
      </c>
      <c r="O115" s="332"/>
      <c r="P115" s="56">
        <f t="shared" si="42"/>
        <v>40000</v>
      </c>
      <c r="Q115" s="584">
        <v>20000</v>
      </c>
      <c r="R115" s="420"/>
      <c r="S115" s="586">
        <v>20000</v>
      </c>
      <c r="T115" s="66">
        <f t="shared" si="53"/>
        <v>20000</v>
      </c>
      <c r="U115" s="66">
        <f t="shared" si="54"/>
        <v>40000</v>
      </c>
      <c r="V115" s="66">
        <f t="shared" si="38"/>
        <v>80000</v>
      </c>
      <c r="W115" s="62"/>
      <c r="X115" s="423"/>
      <c r="Y115" s="422"/>
      <c r="Z115" s="60">
        <v>80000</v>
      </c>
      <c r="AA115" s="68">
        <v>30000</v>
      </c>
    </row>
    <row r="116" spans="1:27" ht="22.9" customHeight="1">
      <c r="A116" s="593">
        <f t="shared" si="30"/>
        <v>325</v>
      </c>
      <c r="B116" s="594" t="s">
        <v>443</v>
      </c>
      <c r="C116" s="62"/>
      <c r="D116" s="62">
        <v>30000</v>
      </c>
      <c r="E116" s="62"/>
      <c r="F116" s="62">
        <v>95000</v>
      </c>
      <c r="G116" s="62">
        <v>45000</v>
      </c>
      <c r="H116" s="63" t="s">
        <v>583</v>
      </c>
      <c r="I116" s="62"/>
      <c r="J116" s="62">
        <v>95000</v>
      </c>
      <c r="K116" s="62">
        <f t="shared" si="55"/>
        <v>95000</v>
      </c>
      <c r="L116" s="56"/>
      <c r="M116" s="56">
        <v>90000</v>
      </c>
      <c r="N116" s="56">
        <f t="shared" si="46"/>
        <v>90000</v>
      </c>
      <c r="O116" s="332"/>
      <c r="P116" s="56">
        <f t="shared" si="42"/>
        <v>90000</v>
      </c>
      <c r="Q116" s="584">
        <v>54000</v>
      </c>
      <c r="R116" s="420"/>
      <c r="S116" s="586">
        <v>54000</v>
      </c>
      <c r="T116" s="66">
        <f t="shared" si="53"/>
        <v>54000</v>
      </c>
      <c r="U116" s="66">
        <f t="shared" si="54"/>
        <v>108000</v>
      </c>
      <c r="V116" s="66">
        <f t="shared" si="38"/>
        <v>198000</v>
      </c>
      <c r="W116" s="62"/>
      <c r="X116" s="423"/>
      <c r="Y116" s="422"/>
      <c r="Z116" s="60">
        <v>180000</v>
      </c>
      <c r="AA116" s="68">
        <v>240000</v>
      </c>
    </row>
    <row r="117" spans="1:27">
      <c r="A117" s="593">
        <f t="shared" si="30"/>
        <v>326</v>
      </c>
      <c r="B117" s="594" t="s">
        <v>565</v>
      </c>
      <c r="C117" s="62"/>
      <c r="D117" s="62">
        <v>6000</v>
      </c>
      <c r="E117" s="62"/>
      <c r="F117" s="62">
        <v>2000</v>
      </c>
      <c r="G117" s="62">
        <v>0</v>
      </c>
      <c r="H117" s="63"/>
      <c r="I117" s="62"/>
      <c r="J117" s="62">
        <v>2000</v>
      </c>
      <c r="K117" s="62">
        <f t="shared" si="55"/>
        <v>2000</v>
      </c>
      <c r="L117" s="56"/>
      <c r="M117" s="56">
        <v>2000</v>
      </c>
      <c r="N117" s="56">
        <f t="shared" si="46"/>
        <v>2000</v>
      </c>
      <c r="O117" s="332"/>
      <c r="P117" s="56">
        <f t="shared" si="42"/>
        <v>2000</v>
      </c>
      <c r="Q117" s="420">
        <v>2000</v>
      </c>
      <c r="R117" s="420"/>
      <c r="S117" s="66">
        <v>2000</v>
      </c>
      <c r="T117" s="66">
        <f t="shared" si="53"/>
        <v>2000</v>
      </c>
      <c r="U117" s="66">
        <f t="shared" si="54"/>
        <v>4000</v>
      </c>
      <c r="V117" s="66">
        <f t="shared" si="38"/>
        <v>6000</v>
      </c>
      <c r="W117" s="62"/>
      <c r="X117" s="423"/>
      <c r="Y117" s="422"/>
      <c r="Z117" s="60">
        <v>4000</v>
      </c>
      <c r="AA117" s="68">
        <v>6000</v>
      </c>
    </row>
    <row r="118" spans="1:27">
      <c r="A118" s="593">
        <f t="shared" si="30"/>
        <v>327</v>
      </c>
      <c r="B118" s="594" t="s">
        <v>584</v>
      </c>
      <c r="C118" s="62"/>
      <c r="D118" s="62">
        <v>30000</v>
      </c>
      <c r="E118" s="62"/>
      <c r="F118" s="62">
        <v>7000</v>
      </c>
      <c r="G118" s="62">
        <v>3500</v>
      </c>
      <c r="H118" s="63"/>
      <c r="I118" s="62"/>
      <c r="J118" s="62">
        <v>7000</v>
      </c>
      <c r="K118" s="62">
        <f t="shared" si="55"/>
        <v>7000</v>
      </c>
      <c r="L118" s="56"/>
      <c r="M118" s="56">
        <v>10000</v>
      </c>
      <c r="N118" s="56">
        <f t="shared" si="46"/>
        <v>10000</v>
      </c>
      <c r="O118" s="332"/>
      <c r="P118" s="56">
        <f t="shared" si="42"/>
        <v>10000</v>
      </c>
      <c r="Q118" s="420">
        <v>10000</v>
      </c>
      <c r="R118" s="420"/>
      <c r="S118" s="66">
        <v>10000</v>
      </c>
      <c r="T118" s="66">
        <f t="shared" si="53"/>
        <v>10000</v>
      </c>
      <c r="U118" s="66">
        <f t="shared" si="54"/>
        <v>20000</v>
      </c>
      <c r="V118" s="66">
        <f t="shared" si="38"/>
        <v>30000</v>
      </c>
      <c r="W118" s="62"/>
      <c r="X118" s="423"/>
      <c r="Y118" s="422"/>
      <c r="Z118" s="60">
        <v>20000</v>
      </c>
      <c r="AA118" s="68">
        <v>0</v>
      </c>
    </row>
    <row r="119" spans="1:27">
      <c r="A119" s="593">
        <f t="shared" si="30"/>
        <v>328</v>
      </c>
      <c r="B119" s="594" t="s">
        <v>567</v>
      </c>
      <c r="C119" s="62"/>
      <c r="D119" s="62">
        <v>15000</v>
      </c>
      <c r="E119" s="62"/>
      <c r="F119" s="62">
        <v>0</v>
      </c>
      <c r="G119" s="62">
        <v>0</v>
      </c>
      <c r="H119" s="63"/>
      <c r="I119" s="62"/>
      <c r="J119" s="62"/>
      <c r="K119" s="62">
        <f t="shared" si="55"/>
        <v>0</v>
      </c>
      <c r="L119" s="56"/>
      <c r="M119" s="56"/>
      <c r="N119" s="56">
        <f t="shared" si="46"/>
        <v>0</v>
      </c>
      <c r="O119" s="332"/>
      <c r="P119" s="56">
        <f t="shared" si="42"/>
        <v>0</v>
      </c>
      <c r="Q119" s="420">
        <v>0</v>
      </c>
      <c r="R119" s="420"/>
      <c r="S119" s="66">
        <v>0</v>
      </c>
      <c r="T119" s="66">
        <f t="shared" si="53"/>
        <v>0</v>
      </c>
      <c r="U119" s="66">
        <f t="shared" si="54"/>
        <v>0</v>
      </c>
      <c r="V119" s="66">
        <f t="shared" si="38"/>
        <v>0</v>
      </c>
      <c r="W119" s="62"/>
      <c r="X119" s="423"/>
      <c r="Y119" s="422"/>
      <c r="Z119" s="60">
        <v>0</v>
      </c>
      <c r="AA119" s="68">
        <v>15000</v>
      </c>
    </row>
    <row r="120" spans="1:27">
      <c r="A120" s="593">
        <f t="shared" si="30"/>
        <v>329</v>
      </c>
      <c r="B120" s="594" t="s">
        <v>503</v>
      </c>
      <c r="C120" s="62"/>
      <c r="D120" s="62">
        <v>4500</v>
      </c>
      <c r="E120" s="62"/>
      <c r="F120" s="62">
        <v>2000</v>
      </c>
      <c r="G120" s="62">
        <v>1000</v>
      </c>
      <c r="H120" s="63"/>
      <c r="I120" s="62"/>
      <c r="J120" s="62">
        <v>2000</v>
      </c>
      <c r="K120" s="62">
        <f t="shared" si="55"/>
        <v>2000</v>
      </c>
      <c r="L120" s="56"/>
      <c r="M120" s="56">
        <v>2000</v>
      </c>
      <c r="N120" s="56">
        <f t="shared" si="46"/>
        <v>2000</v>
      </c>
      <c r="O120" s="332"/>
      <c r="P120" s="56">
        <f t="shared" si="42"/>
        <v>2000</v>
      </c>
      <c r="Q120" s="420">
        <v>2000</v>
      </c>
      <c r="R120" s="420"/>
      <c r="S120" s="66">
        <v>2000</v>
      </c>
      <c r="T120" s="66">
        <f t="shared" si="53"/>
        <v>2000</v>
      </c>
      <c r="U120" s="66">
        <f t="shared" si="54"/>
        <v>4000</v>
      </c>
      <c r="V120" s="66">
        <f t="shared" si="38"/>
        <v>6000</v>
      </c>
      <c r="W120" s="62"/>
      <c r="X120" s="423"/>
      <c r="Y120" s="422"/>
      <c r="Z120" s="60">
        <v>4000</v>
      </c>
      <c r="AA120" s="68">
        <v>10500</v>
      </c>
    </row>
    <row r="121" spans="1:27">
      <c r="A121" s="593">
        <f t="shared" si="30"/>
        <v>330</v>
      </c>
      <c r="B121" s="594" t="s">
        <v>518</v>
      </c>
      <c r="C121" s="62"/>
      <c r="D121" s="62">
        <v>4500</v>
      </c>
      <c r="E121" s="62"/>
      <c r="F121" s="62">
        <v>8500</v>
      </c>
      <c r="G121" s="62">
        <v>8500</v>
      </c>
      <c r="H121" s="63"/>
      <c r="I121" s="62"/>
      <c r="J121" s="62">
        <v>8500</v>
      </c>
      <c r="K121" s="62">
        <f t="shared" si="55"/>
        <v>8500</v>
      </c>
      <c r="L121" s="56"/>
      <c r="M121" s="56">
        <v>6000</v>
      </c>
      <c r="N121" s="56">
        <f t="shared" si="46"/>
        <v>6000</v>
      </c>
      <c r="O121" s="332"/>
      <c r="P121" s="56">
        <f t="shared" si="42"/>
        <v>6000</v>
      </c>
      <c r="Q121" s="420">
        <v>6000</v>
      </c>
      <c r="R121" s="420"/>
      <c r="S121" s="66">
        <v>6000</v>
      </c>
      <c r="T121" s="66">
        <f t="shared" si="53"/>
        <v>6000</v>
      </c>
      <c r="U121" s="66">
        <f t="shared" si="54"/>
        <v>12000</v>
      </c>
      <c r="V121" s="66">
        <f t="shared" si="38"/>
        <v>18000</v>
      </c>
      <c r="W121" s="62"/>
      <c r="X121" s="423"/>
      <c r="Y121" s="422"/>
      <c r="Z121" s="60">
        <v>12000</v>
      </c>
      <c r="AA121" s="68">
        <v>4500</v>
      </c>
    </row>
    <row r="122" spans="1:27">
      <c r="A122" s="593">
        <f t="shared" si="30"/>
        <v>331</v>
      </c>
      <c r="B122" s="594" t="s">
        <v>533</v>
      </c>
      <c r="C122" s="62"/>
      <c r="D122" s="62">
        <v>8000</v>
      </c>
      <c r="E122" s="62"/>
      <c r="F122" s="62">
        <v>18000</v>
      </c>
      <c r="G122" s="62">
        <v>18000</v>
      </c>
      <c r="H122" s="63"/>
      <c r="I122" s="62"/>
      <c r="J122" s="62">
        <v>32000</v>
      </c>
      <c r="K122" s="62">
        <f t="shared" si="55"/>
        <v>32000</v>
      </c>
      <c r="L122" s="56"/>
      <c r="M122" s="56">
        <v>25000</v>
      </c>
      <c r="N122" s="56">
        <f t="shared" si="46"/>
        <v>25000</v>
      </c>
      <c r="O122" s="332"/>
      <c r="P122" s="56">
        <f t="shared" si="42"/>
        <v>25000</v>
      </c>
      <c r="Q122" s="420">
        <v>25000</v>
      </c>
      <c r="R122" s="420"/>
      <c r="S122" s="66">
        <v>25000</v>
      </c>
      <c r="T122" s="66">
        <f t="shared" si="53"/>
        <v>25000</v>
      </c>
      <c r="U122" s="66">
        <f t="shared" si="54"/>
        <v>50000</v>
      </c>
      <c r="V122" s="66">
        <f t="shared" si="38"/>
        <v>75000</v>
      </c>
      <c r="W122" s="62"/>
      <c r="X122" s="423"/>
      <c r="Y122" s="422"/>
      <c r="Z122" s="60">
        <v>50000</v>
      </c>
      <c r="AA122" s="68">
        <v>12000</v>
      </c>
    </row>
    <row r="123" spans="1:27">
      <c r="A123" s="593">
        <f t="shared" si="30"/>
        <v>332</v>
      </c>
      <c r="B123" s="594" t="s">
        <v>520</v>
      </c>
      <c r="C123" s="62"/>
      <c r="D123" s="62">
        <v>6000</v>
      </c>
      <c r="E123" s="62"/>
      <c r="F123" s="62">
        <v>2500</v>
      </c>
      <c r="G123" s="62">
        <v>2500</v>
      </c>
      <c r="H123" s="63"/>
      <c r="I123" s="62"/>
      <c r="J123" s="62">
        <v>2500</v>
      </c>
      <c r="K123" s="62">
        <f t="shared" si="55"/>
        <v>2500</v>
      </c>
      <c r="L123" s="56"/>
      <c r="M123" s="56">
        <v>2500</v>
      </c>
      <c r="N123" s="56">
        <f t="shared" si="46"/>
        <v>2500</v>
      </c>
      <c r="O123" s="332"/>
      <c r="P123" s="56">
        <f t="shared" si="42"/>
        <v>2500</v>
      </c>
      <c r="Q123" s="420">
        <v>2500</v>
      </c>
      <c r="R123" s="420"/>
      <c r="S123" s="66">
        <v>2500</v>
      </c>
      <c r="T123" s="66">
        <f t="shared" si="53"/>
        <v>2500</v>
      </c>
      <c r="U123" s="66">
        <f t="shared" si="54"/>
        <v>5000</v>
      </c>
      <c r="V123" s="66">
        <f t="shared" si="38"/>
        <v>7500</v>
      </c>
      <c r="W123" s="62"/>
      <c r="X123" s="423"/>
      <c r="Y123" s="422"/>
      <c r="Z123" s="60">
        <v>5000</v>
      </c>
      <c r="AA123" s="68">
        <v>7200</v>
      </c>
    </row>
    <row r="124" spans="1:27">
      <c r="A124" s="593">
        <f t="shared" si="30"/>
        <v>333</v>
      </c>
      <c r="B124" s="594" t="s">
        <v>585</v>
      </c>
      <c r="C124" s="62"/>
      <c r="D124" s="62">
        <v>72000</v>
      </c>
      <c r="E124" s="62"/>
      <c r="F124" s="62">
        <v>13000</v>
      </c>
      <c r="G124" s="62">
        <v>13000</v>
      </c>
      <c r="H124" s="63"/>
      <c r="I124" s="62"/>
      <c r="J124" s="62">
        <v>13000</v>
      </c>
      <c r="K124" s="62">
        <f t="shared" si="55"/>
        <v>13000</v>
      </c>
      <c r="L124" s="56"/>
      <c r="M124" s="56">
        <v>13000</v>
      </c>
      <c r="N124" s="56">
        <f t="shared" si="46"/>
        <v>13000</v>
      </c>
      <c r="O124" s="332"/>
      <c r="P124" s="56">
        <f t="shared" si="42"/>
        <v>13000</v>
      </c>
      <c r="Q124" s="420">
        <v>13000</v>
      </c>
      <c r="R124" s="420"/>
      <c r="S124" s="66">
        <v>13000</v>
      </c>
      <c r="T124" s="66">
        <f t="shared" si="53"/>
        <v>13000</v>
      </c>
      <c r="U124" s="66">
        <f t="shared" si="54"/>
        <v>26000</v>
      </c>
      <c r="V124" s="66">
        <f t="shared" si="38"/>
        <v>39000</v>
      </c>
      <c r="W124" s="62"/>
      <c r="X124" s="423"/>
      <c r="Y124" s="422"/>
      <c r="Z124" s="60">
        <v>26000</v>
      </c>
      <c r="AA124" s="68">
        <v>72000</v>
      </c>
    </row>
    <row r="125" spans="1:27">
      <c r="A125" s="593">
        <f t="shared" si="30"/>
        <v>334</v>
      </c>
      <c r="B125" s="594" t="s">
        <v>586</v>
      </c>
      <c r="C125" s="62"/>
      <c r="D125" s="62">
        <v>11100</v>
      </c>
      <c r="E125" s="62"/>
      <c r="F125" s="62">
        <v>0</v>
      </c>
      <c r="G125" s="62">
        <v>0</v>
      </c>
      <c r="H125" s="63"/>
      <c r="I125" s="62"/>
      <c r="J125" s="62">
        <v>0</v>
      </c>
      <c r="K125" s="62">
        <f t="shared" si="55"/>
        <v>0</v>
      </c>
      <c r="L125" s="56"/>
      <c r="M125" s="56"/>
      <c r="N125" s="56">
        <f t="shared" si="46"/>
        <v>0</v>
      </c>
      <c r="O125" s="332"/>
      <c r="P125" s="56">
        <f t="shared" si="42"/>
        <v>0</v>
      </c>
      <c r="Q125" s="420">
        <v>0</v>
      </c>
      <c r="R125" s="420"/>
      <c r="S125" s="66">
        <v>0</v>
      </c>
      <c r="T125" s="66">
        <f t="shared" si="53"/>
        <v>0</v>
      </c>
      <c r="U125" s="66">
        <f t="shared" si="54"/>
        <v>0</v>
      </c>
      <c r="V125" s="66">
        <f t="shared" si="38"/>
        <v>0</v>
      </c>
      <c r="W125" s="62"/>
      <c r="X125" s="423"/>
      <c r="Y125" s="422"/>
      <c r="Z125" s="60">
        <v>0</v>
      </c>
      <c r="AA125" s="68">
        <v>11100</v>
      </c>
    </row>
    <row r="126" spans="1:27">
      <c r="A126" s="593">
        <f t="shared" si="30"/>
        <v>335</v>
      </c>
      <c r="B126" s="594" t="s">
        <v>587</v>
      </c>
      <c r="C126" s="62"/>
      <c r="D126" s="62">
        <v>37800</v>
      </c>
      <c r="E126" s="62"/>
      <c r="F126" s="62">
        <v>16000</v>
      </c>
      <c r="G126" s="62">
        <v>16000</v>
      </c>
      <c r="H126" s="63"/>
      <c r="I126" s="62"/>
      <c r="J126" s="62">
        <v>16000</v>
      </c>
      <c r="K126" s="62">
        <f t="shared" si="55"/>
        <v>16000</v>
      </c>
      <c r="L126" s="56"/>
      <c r="M126" s="56">
        <v>16000</v>
      </c>
      <c r="N126" s="56">
        <f t="shared" si="46"/>
        <v>16000</v>
      </c>
      <c r="O126" s="332"/>
      <c r="P126" s="56">
        <f t="shared" si="42"/>
        <v>16000</v>
      </c>
      <c r="Q126" s="420">
        <v>16000</v>
      </c>
      <c r="R126" s="420"/>
      <c r="S126" s="66">
        <v>16000</v>
      </c>
      <c r="T126" s="66">
        <f t="shared" si="53"/>
        <v>16000</v>
      </c>
      <c r="U126" s="66">
        <f t="shared" si="54"/>
        <v>32000</v>
      </c>
      <c r="V126" s="66">
        <f t="shared" si="38"/>
        <v>48000</v>
      </c>
      <c r="W126" s="62"/>
      <c r="X126" s="423"/>
      <c r="Y126" s="422"/>
      <c r="Z126" s="60">
        <v>32000</v>
      </c>
      <c r="AA126" s="68">
        <v>37800</v>
      </c>
    </row>
    <row r="127" spans="1:27" s="434" customFormat="1">
      <c r="A127" s="588">
        <f t="shared" si="30"/>
        <v>336</v>
      </c>
      <c r="B127" s="589" t="s">
        <v>588</v>
      </c>
      <c r="C127" s="160">
        <v>842100</v>
      </c>
      <c r="D127" s="160">
        <v>814900</v>
      </c>
      <c r="E127" s="160">
        <v>275705</v>
      </c>
      <c r="F127" s="160">
        <f t="shared" ref="F127:K127" si="56">SUM(F102:F126)</f>
        <v>264311</v>
      </c>
      <c r="G127" s="160">
        <f t="shared" si="56"/>
        <v>168311</v>
      </c>
      <c r="H127" s="385"/>
      <c r="I127" s="160">
        <f t="shared" si="56"/>
        <v>30000</v>
      </c>
      <c r="J127" s="160">
        <f t="shared" si="56"/>
        <v>273334</v>
      </c>
      <c r="K127" s="160">
        <f t="shared" si="56"/>
        <v>303334</v>
      </c>
      <c r="L127" s="386">
        <f t="shared" ref="L127:N127" si="57">SUM(L102:L126)</f>
        <v>30000</v>
      </c>
      <c r="M127" s="386">
        <f t="shared" si="57"/>
        <v>322334</v>
      </c>
      <c r="N127" s="386">
        <f t="shared" si="57"/>
        <v>352334</v>
      </c>
      <c r="O127" s="605"/>
      <c r="P127" s="386">
        <f t="shared" si="42"/>
        <v>352334</v>
      </c>
      <c r="Q127" s="388">
        <f>SUM(Q102:Q126)</f>
        <v>231334</v>
      </c>
      <c r="R127" s="388">
        <f t="shared" ref="R127:V127" si="58">SUM(R102:R126)</f>
        <v>30000</v>
      </c>
      <c r="S127" s="388">
        <f t="shared" si="58"/>
        <v>231334</v>
      </c>
      <c r="T127" s="388">
        <f t="shared" si="58"/>
        <v>261334</v>
      </c>
      <c r="U127" s="388">
        <f t="shared" si="58"/>
        <v>492668</v>
      </c>
      <c r="V127" s="388">
        <f t="shared" si="58"/>
        <v>845002</v>
      </c>
      <c r="W127" s="160">
        <f>E127+G127+K127</f>
        <v>747350</v>
      </c>
      <c r="X127" s="389">
        <v>0</v>
      </c>
      <c r="Y127" s="388">
        <f t="shared" ref="Y127" si="59">SUM(Y102:Y126)</f>
        <v>0</v>
      </c>
      <c r="Z127" s="390">
        <v>604668</v>
      </c>
      <c r="AA127" s="391">
        <v>792600</v>
      </c>
    </row>
    <row r="128" spans="1:27">
      <c r="A128" s="562">
        <f t="shared" si="30"/>
        <v>337</v>
      </c>
      <c r="B128" s="502"/>
      <c r="C128" s="62"/>
      <c r="D128" s="62">
        <v>0</v>
      </c>
      <c r="E128" s="62"/>
      <c r="F128" s="62"/>
      <c r="G128" s="62"/>
      <c r="H128" s="63"/>
      <c r="I128" s="62"/>
      <c r="J128" s="62"/>
      <c r="K128" s="62"/>
      <c r="L128" s="56"/>
      <c r="M128" s="56"/>
      <c r="N128" s="56">
        <f t="shared" si="46"/>
        <v>0</v>
      </c>
      <c r="O128" s="332"/>
      <c r="P128" s="56">
        <f t="shared" si="42"/>
        <v>0</v>
      </c>
      <c r="Q128" s="422"/>
      <c r="R128" s="422"/>
      <c r="S128" s="422"/>
      <c r="T128" s="422"/>
      <c r="U128" s="422"/>
      <c r="V128" s="294">
        <f t="shared" si="38"/>
        <v>0</v>
      </c>
      <c r="W128" s="62"/>
      <c r="X128" s="423"/>
      <c r="Y128" s="422"/>
      <c r="Z128" s="60"/>
      <c r="AA128" s="297"/>
    </row>
    <row r="129" spans="1:27" ht="21.4" customHeight="1">
      <c r="A129" s="495">
        <f t="shared" si="30"/>
        <v>338</v>
      </c>
      <c r="B129" s="504" t="s">
        <v>589</v>
      </c>
      <c r="C129" s="62">
        <v>216000</v>
      </c>
      <c r="D129" s="62">
        <v>0</v>
      </c>
      <c r="E129" s="62"/>
      <c r="F129" s="62"/>
      <c r="G129" s="62"/>
      <c r="H129" s="63"/>
      <c r="I129" s="62"/>
      <c r="J129" s="62"/>
      <c r="K129" s="62"/>
      <c r="L129" s="56"/>
      <c r="M129" s="56"/>
      <c r="N129" s="56">
        <f t="shared" si="46"/>
        <v>0</v>
      </c>
      <c r="O129" s="332"/>
      <c r="P129" s="56">
        <f t="shared" si="42"/>
        <v>0</v>
      </c>
      <c r="Q129" s="422"/>
      <c r="R129" s="422"/>
      <c r="S129" s="422"/>
      <c r="T129" s="422"/>
      <c r="U129" s="422"/>
      <c r="V129" s="294">
        <f t="shared" si="38"/>
        <v>0</v>
      </c>
      <c r="W129" s="62"/>
      <c r="X129" s="423"/>
      <c r="Y129" s="422"/>
      <c r="Z129" s="60"/>
      <c r="AA129" s="297"/>
    </row>
    <row r="130" spans="1:27">
      <c r="A130" s="562">
        <f t="shared" si="30"/>
        <v>339</v>
      </c>
      <c r="B130" s="502" t="s">
        <v>497</v>
      </c>
      <c r="C130" s="62"/>
      <c r="D130" s="62">
        <v>7000</v>
      </c>
      <c r="E130" s="62"/>
      <c r="F130" s="62"/>
      <c r="G130" s="62"/>
      <c r="H130" s="63"/>
      <c r="I130" s="62">
        <v>20000</v>
      </c>
      <c r="J130" s="62"/>
      <c r="K130" s="62">
        <f>I130</f>
        <v>20000</v>
      </c>
      <c r="L130" s="56">
        <v>20000</v>
      </c>
      <c r="M130" s="56"/>
      <c r="N130" s="56">
        <f t="shared" si="46"/>
        <v>20000</v>
      </c>
      <c r="O130" s="332"/>
      <c r="P130" s="56">
        <f t="shared" si="42"/>
        <v>20000</v>
      </c>
      <c r="Q130" s="420"/>
      <c r="R130" s="420">
        <v>20000</v>
      </c>
      <c r="S130" s="66"/>
      <c r="T130" s="66">
        <f t="shared" ref="T130:T139" si="60">R130+S130</f>
        <v>20000</v>
      </c>
      <c r="U130" s="66">
        <f t="shared" ref="U130:U139" si="61">Q130+T130</f>
        <v>20000</v>
      </c>
      <c r="V130" s="66">
        <f t="shared" si="38"/>
        <v>40000</v>
      </c>
      <c r="W130" s="62"/>
      <c r="X130" s="423"/>
      <c r="Y130" s="422"/>
      <c r="Z130" s="60">
        <v>20000</v>
      </c>
      <c r="AA130" s="68">
        <v>7000</v>
      </c>
    </row>
    <row r="131" spans="1:27" ht="28.5">
      <c r="A131" s="562">
        <f t="shared" si="30"/>
        <v>340</v>
      </c>
      <c r="B131" s="502" t="s">
        <v>590</v>
      </c>
      <c r="C131" s="62"/>
      <c r="D131" s="62">
        <v>260000</v>
      </c>
      <c r="E131" s="62"/>
      <c r="F131" s="62">
        <v>84000</v>
      </c>
      <c r="G131" s="62">
        <v>84000</v>
      </c>
      <c r="H131" s="63"/>
      <c r="I131" s="62"/>
      <c r="J131" s="62">
        <v>105000</v>
      </c>
      <c r="K131" s="62">
        <f>J131</f>
        <v>105000</v>
      </c>
      <c r="L131" s="56"/>
      <c r="M131" s="56">
        <v>105000</v>
      </c>
      <c r="N131" s="56">
        <f t="shared" si="46"/>
        <v>105000</v>
      </c>
      <c r="O131" s="332"/>
      <c r="P131" s="56">
        <f t="shared" si="42"/>
        <v>105000</v>
      </c>
      <c r="Q131" s="584">
        <v>119450</v>
      </c>
      <c r="R131" s="420"/>
      <c r="S131" s="584">
        <v>119450</v>
      </c>
      <c r="T131" s="66">
        <f t="shared" si="60"/>
        <v>119450</v>
      </c>
      <c r="U131" s="66">
        <f t="shared" si="61"/>
        <v>238900</v>
      </c>
      <c r="V131" s="66">
        <f t="shared" si="38"/>
        <v>343900</v>
      </c>
      <c r="W131" s="62"/>
      <c r="X131" s="600" t="s">
        <v>591</v>
      </c>
      <c r="Y131" s="422" t="s">
        <v>592</v>
      </c>
      <c r="Z131" s="60">
        <v>167272</v>
      </c>
      <c r="AA131" s="68">
        <v>260000</v>
      </c>
    </row>
    <row r="132" spans="1:27">
      <c r="A132" s="562">
        <f t="shared" si="30"/>
        <v>341</v>
      </c>
      <c r="B132" s="502"/>
      <c r="C132" s="62"/>
      <c r="D132" s="62"/>
      <c r="E132" s="62"/>
      <c r="F132" s="62"/>
      <c r="G132" s="62"/>
      <c r="H132" s="63"/>
      <c r="I132" s="62"/>
      <c r="J132" s="62"/>
      <c r="K132" s="62">
        <f t="shared" ref="K132:K139" si="62">J132</f>
        <v>0</v>
      </c>
      <c r="L132" s="56"/>
      <c r="M132" s="56"/>
      <c r="N132" s="56">
        <f t="shared" si="46"/>
        <v>0</v>
      </c>
      <c r="O132" s="332"/>
      <c r="P132" s="56">
        <f t="shared" si="42"/>
        <v>0</v>
      </c>
      <c r="Q132" s="420"/>
      <c r="R132" s="420"/>
      <c r="S132" s="66"/>
      <c r="T132" s="66">
        <f t="shared" si="60"/>
        <v>0</v>
      </c>
      <c r="U132" s="66">
        <f t="shared" si="61"/>
        <v>0</v>
      </c>
      <c r="V132" s="66">
        <f t="shared" si="38"/>
        <v>0</v>
      </c>
      <c r="W132" s="62"/>
      <c r="X132" s="423"/>
      <c r="Y132" s="422"/>
      <c r="Z132" s="60">
        <v>0</v>
      </c>
      <c r="AA132" s="68">
        <v>0</v>
      </c>
    </row>
    <row r="133" spans="1:27" ht="18.399999999999999" customHeight="1">
      <c r="A133" s="562">
        <f t="shared" si="30"/>
        <v>342</v>
      </c>
      <c r="B133" s="502" t="s">
        <v>443</v>
      </c>
      <c r="C133" s="62"/>
      <c r="D133" s="62">
        <v>9000</v>
      </c>
      <c r="E133" s="62"/>
      <c r="F133" s="62">
        <v>5000</v>
      </c>
      <c r="G133" s="62">
        <f>5000*0.75</f>
        <v>3750</v>
      </c>
      <c r="H133" s="63" t="s">
        <v>593</v>
      </c>
      <c r="I133" s="62"/>
      <c r="J133" s="62">
        <v>5000</v>
      </c>
      <c r="K133" s="62">
        <f t="shared" si="62"/>
        <v>5000</v>
      </c>
      <c r="L133" s="56"/>
      <c r="M133" s="56">
        <v>5000</v>
      </c>
      <c r="N133" s="56">
        <f t="shared" si="46"/>
        <v>5000</v>
      </c>
      <c r="O133" s="332"/>
      <c r="P133" s="56">
        <f t="shared" si="42"/>
        <v>5000</v>
      </c>
      <c r="Q133" s="584">
        <v>3000</v>
      </c>
      <c r="R133" s="420"/>
      <c r="S133" s="586">
        <v>3000</v>
      </c>
      <c r="T133" s="66">
        <f t="shared" si="60"/>
        <v>3000</v>
      </c>
      <c r="U133" s="66">
        <f t="shared" si="61"/>
        <v>6000</v>
      </c>
      <c r="V133" s="66">
        <f t="shared" si="38"/>
        <v>11000</v>
      </c>
      <c r="W133" s="62"/>
      <c r="X133" s="423"/>
      <c r="Y133" s="422"/>
      <c r="Z133" s="60">
        <v>10763</v>
      </c>
      <c r="AA133" s="68">
        <v>9000</v>
      </c>
    </row>
    <row r="134" spans="1:27">
      <c r="A134" s="562">
        <f t="shared" si="30"/>
        <v>343</v>
      </c>
      <c r="B134" s="502" t="s">
        <v>594</v>
      </c>
      <c r="C134" s="62"/>
      <c r="D134" s="62">
        <v>9000</v>
      </c>
      <c r="E134" s="62"/>
      <c r="F134" s="62">
        <v>30200</v>
      </c>
      <c r="G134" s="62">
        <v>10000</v>
      </c>
      <c r="H134" s="63"/>
      <c r="I134" s="62"/>
      <c r="J134" s="62">
        <v>23200</v>
      </c>
      <c r="K134" s="62">
        <f t="shared" si="62"/>
        <v>23200</v>
      </c>
      <c r="L134" s="56"/>
      <c r="M134" s="56">
        <v>23200</v>
      </c>
      <c r="N134" s="56">
        <f t="shared" si="46"/>
        <v>23200</v>
      </c>
      <c r="O134" s="332"/>
      <c r="P134" s="56">
        <f t="shared" si="42"/>
        <v>23200</v>
      </c>
      <c r="Q134" s="420">
        <v>5000</v>
      </c>
      <c r="R134" s="420"/>
      <c r="S134" s="66">
        <v>5000</v>
      </c>
      <c r="T134" s="66">
        <f t="shared" si="60"/>
        <v>5000</v>
      </c>
      <c r="U134" s="66">
        <f t="shared" si="61"/>
        <v>10000</v>
      </c>
      <c r="V134" s="66">
        <f t="shared" si="38"/>
        <v>33200</v>
      </c>
      <c r="W134" s="62"/>
      <c r="X134" s="423"/>
      <c r="Y134" s="422"/>
      <c r="Z134" s="60">
        <v>10000</v>
      </c>
      <c r="AA134" s="68">
        <v>9000</v>
      </c>
    </row>
    <row r="135" spans="1:27">
      <c r="A135" s="562">
        <f t="shared" si="30"/>
        <v>344</v>
      </c>
      <c r="B135" s="502" t="s">
        <v>595</v>
      </c>
      <c r="C135" s="62"/>
      <c r="D135" s="62">
        <v>1500</v>
      </c>
      <c r="E135" s="62"/>
      <c r="F135" s="62">
        <v>500</v>
      </c>
      <c r="G135" s="62">
        <v>0</v>
      </c>
      <c r="H135" s="63"/>
      <c r="I135" s="62"/>
      <c r="J135" s="62">
        <v>500</v>
      </c>
      <c r="K135" s="62">
        <f t="shared" si="62"/>
        <v>500</v>
      </c>
      <c r="L135" s="56"/>
      <c r="M135" s="56">
        <v>500</v>
      </c>
      <c r="N135" s="56">
        <f t="shared" si="46"/>
        <v>500</v>
      </c>
      <c r="O135" s="332"/>
      <c r="P135" s="56">
        <f t="shared" si="42"/>
        <v>500</v>
      </c>
      <c r="Q135" s="420">
        <v>1000</v>
      </c>
      <c r="R135" s="420"/>
      <c r="S135" s="66">
        <v>1000</v>
      </c>
      <c r="T135" s="66">
        <f t="shared" si="60"/>
        <v>1000</v>
      </c>
      <c r="U135" s="66">
        <f t="shared" si="61"/>
        <v>2000</v>
      </c>
      <c r="V135" s="66">
        <f t="shared" si="38"/>
        <v>2500</v>
      </c>
      <c r="W135" s="62"/>
      <c r="X135" s="423"/>
      <c r="Y135" s="422"/>
      <c r="Z135" s="60">
        <v>2000</v>
      </c>
      <c r="AA135" s="68">
        <v>1500</v>
      </c>
    </row>
    <row r="136" spans="1:27">
      <c r="A136" s="562">
        <f t="shared" si="30"/>
        <v>345</v>
      </c>
      <c r="B136" s="502" t="s">
        <v>503</v>
      </c>
      <c r="C136" s="62"/>
      <c r="D136" s="62">
        <v>3000</v>
      </c>
      <c r="E136" s="62"/>
      <c r="F136" s="62">
        <v>1500</v>
      </c>
      <c r="G136" s="62">
        <v>1500</v>
      </c>
      <c r="H136" s="63"/>
      <c r="I136" s="62"/>
      <c r="J136" s="62">
        <v>1000</v>
      </c>
      <c r="K136" s="62">
        <f t="shared" si="62"/>
        <v>1000</v>
      </c>
      <c r="L136" s="56"/>
      <c r="M136" s="56">
        <v>1000</v>
      </c>
      <c r="N136" s="56">
        <f t="shared" si="46"/>
        <v>1000</v>
      </c>
      <c r="O136" s="332"/>
      <c r="P136" s="56">
        <f t="shared" si="42"/>
        <v>1000</v>
      </c>
      <c r="Q136" s="420">
        <v>1545</v>
      </c>
      <c r="R136" s="420"/>
      <c r="S136" s="66">
        <v>1591</v>
      </c>
      <c r="T136" s="66">
        <f t="shared" si="60"/>
        <v>1591</v>
      </c>
      <c r="U136" s="66">
        <f t="shared" si="61"/>
        <v>3136</v>
      </c>
      <c r="V136" s="66">
        <f t="shared" si="38"/>
        <v>4136</v>
      </c>
      <c r="W136" s="62"/>
      <c r="X136" s="423"/>
      <c r="Y136" s="422"/>
      <c r="Z136" s="60">
        <v>3136</v>
      </c>
      <c r="AA136" s="68">
        <v>3000</v>
      </c>
    </row>
    <row r="137" spans="1:27">
      <c r="A137" s="562">
        <f t="shared" ref="A137:A140" si="63">A136+1</f>
        <v>346</v>
      </c>
      <c r="B137" s="502" t="s">
        <v>518</v>
      </c>
      <c r="C137" s="62"/>
      <c r="D137" s="62">
        <v>3000</v>
      </c>
      <c r="E137" s="62"/>
      <c r="F137" s="62">
        <v>1000</v>
      </c>
      <c r="G137" s="62">
        <v>1000</v>
      </c>
      <c r="H137" s="63"/>
      <c r="I137" s="62"/>
      <c r="J137" s="62">
        <v>1000</v>
      </c>
      <c r="K137" s="62">
        <f t="shared" si="62"/>
        <v>1000</v>
      </c>
      <c r="L137" s="56"/>
      <c r="M137" s="56">
        <v>1000</v>
      </c>
      <c r="N137" s="56">
        <f t="shared" si="46"/>
        <v>1000</v>
      </c>
      <c r="O137" s="332"/>
      <c r="P137" s="56">
        <f t="shared" si="42"/>
        <v>1000</v>
      </c>
      <c r="Q137" s="420">
        <v>500</v>
      </c>
      <c r="R137" s="420"/>
      <c r="S137" s="66">
        <v>500</v>
      </c>
      <c r="T137" s="66">
        <f t="shared" si="60"/>
        <v>500</v>
      </c>
      <c r="U137" s="66">
        <f t="shared" si="61"/>
        <v>1000</v>
      </c>
      <c r="V137" s="66">
        <f t="shared" si="38"/>
        <v>2000</v>
      </c>
      <c r="W137" s="62"/>
      <c r="X137" s="423"/>
      <c r="Y137" s="422"/>
      <c r="Z137" s="60">
        <v>1000</v>
      </c>
      <c r="AA137" s="68">
        <v>3000</v>
      </c>
    </row>
    <row r="138" spans="1:27">
      <c r="A138" s="562">
        <f t="shared" si="63"/>
        <v>347</v>
      </c>
      <c r="B138" s="502" t="s">
        <v>533</v>
      </c>
      <c r="C138" s="62"/>
      <c r="D138" s="62">
        <v>6500</v>
      </c>
      <c r="E138" s="62"/>
      <c r="F138" s="62">
        <v>4300</v>
      </c>
      <c r="G138" s="62">
        <v>4300</v>
      </c>
      <c r="H138" s="63"/>
      <c r="I138" s="62"/>
      <c r="J138" s="62">
        <v>1500</v>
      </c>
      <c r="K138" s="62">
        <f t="shared" si="62"/>
        <v>1500</v>
      </c>
      <c r="L138" s="56"/>
      <c r="M138" s="56">
        <v>800</v>
      </c>
      <c r="N138" s="56">
        <f t="shared" si="46"/>
        <v>800</v>
      </c>
      <c r="O138" s="332"/>
      <c r="P138" s="56">
        <f t="shared" si="42"/>
        <v>800</v>
      </c>
      <c r="Q138" s="420">
        <v>500</v>
      </c>
      <c r="R138" s="420"/>
      <c r="S138" s="66">
        <v>500</v>
      </c>
      <c r="T138" s="66">
        <f t="shared" si="60"/>
        <v>500</v>
      </c>
      <c r="U138" s="66">
        <f t="shared" si="61"/>
        <v>1000</v>
      </c>
      <c r="V138" s="66">
        <f t="shared" si="38"/>
        <v>1800</v>
      </c>
      <c r="W138" s="62"/>
      <c r="X138" s="423"/>
      <c r="Y138" s="422"/>
      <c r="Z138" s="60">
        <v>1000</v>
      </c>
      <c r="AA138" s="68">
        <v>6500</v>
      </c>
    </row>
    <row r="139" spans="1:27">
      <c r="A139" s="562">
        <f t="shared" si="63"/>
        <v>348</v>
      </c>
      <c r="B139" s="502" t="s">
        <v>596</v>
      </c>
      <c r="C139" s="62"/>
      <c r="D139" s="62">
        <v>3500</v>
      </c>
      <c r="E139" s="62"/>
      <c r="F139" s="62">
        <v>1500</v>
      </c>
      <c r="G139" s="62">
        <v>1500</v>
      </c>
      <c r="H139" s="63"/>
      <c r="I139" s="62"/>
      <c r="J139" s="62">
        <v>1500</v>
      </c>
      <c r="K139" s="62">
        <f t="shared" si="62"/>
        <v>1500</v>
      </c>
      <c r="L139" s="56"/>
      <c r="M139" s="56">
        <v>1500</v>
      </c>
      <c r="N139" s="56">
        <f t="shared" si="46"/>
        <v>1500</v>
      </c>
      <c r="O139" s="332"/>
      <c r="P139" s="56">
        <f t="shared" si="42"/>
        <v>1500</v>
      </c>
      <c r="Q139" s="420">
        <v>1500</v>
      </c>
      <c r="R139" s="420"/>
      <c r="S139" s="66">
        <v>1500</v>
      </c>
      <c r="T139" s="66">
        <f t="shared" si="60"/>
        <v>1500</v>
      </c>
      <c r="U139" s="66">
        <f t="shared" si="61"/>
        <v>3000</v>
      </c>
      <c r="V139" s="66">
        <f t="shared" ref="V139:V202" si="64">U139+P139</f>
        <v>4500</v>
      </c>
      <c r="W139" s="62"/>
      <c r="X139" s="423"/>
      <c r="Y139" s="422"/>
      <c r="Z139" s="60">
        <v>3000</v>
      </c>
      <c r="AA139" s="68">
        <v>3500</v>
      </c>
    </row>
    <row r="140" spans="1:27" s="434" customFormat="1">
      <c r="A140" s="588">
        <f t="shared" si="63"/>
        <v>349</v>
      </c>
      <c r="B140" s="589" t="s">
        <v>597</v>
      </c>
      <c r="C140" s="160">
        <f>SUM(C129:C139)</f>
        <v>216000</v>
      </c>
      <c r="D140" s="160">
        <f t="shared" ref="D140:N140" si="65">SUM(D130:D139)</f>
        <v>302500</v>
      </c>
      <c r="E140" s="160">
        <v>36088</v>
      </c>
      <c r="F140" s="160">
        <f t="shared" si="65"/>
        <v>128000</v>
      </c>
      <c r="G140" s="160">
        <f>SUM(G130:G139)</f>
        <v>106050</v>
      </c>
      <c r="H140" s="160">
        <f t="shared" ref="H140" si="66">SUM(H130:H139)</f>
        <v>0</v>
      </c>
      <c r="I140" s="160">
        <f t="shared" si="65"/>
        <v>20000</v>
      </c>
      <c r="J140" s="160">
        <f t="shared" si="65"/>
        <v>138700</v>
      </c>
      <c r="K140" s="160">
        <f t="shared" si="65"/>
        <v>158700</v>
      </c>
      <c r="L140" s="386">
        <f t="shared" si="65"/>
        <v>20000</v>
      </c>
      <c r="M140" s="386">
        <f t="shared" si="65"/>
        <v>138000</v>
      </c>
      <c r="N140" s="386">
        <f t="shared" si="65"/>
        <v>158000</v>
      </c>
      <c r="O140" s="605"/>
      <c r="P140" s="386">
        <f t="shared" si="42"/>
        <v>158000</v>
      </c>
      <c r="Q140" s="388">
        <f t="shared" ref="Q140:V140" si="67">SUM(Q130:Q139)</f>
        <v>132495</v>
      </c>
      <c r="R140" s="388">
        <f t="shared" si="67"/>
        <v>20000</v>
      </c>
      <c r="S140" s="388">
        <f t="shared" si="67"/>
        <v>132541</v>
      </c>
      <c r="T140" s="388">
        <f t="shared" si="67"/>
        <v>152541</v>
      </c>
      <c r="U140" s="388">
        <f t="shared" si="67"/>
        <v>285036</v>
      </c>
      <c r="V140" s="388">
        <f t="shared" si="67"/>
        <v>443036</v>
      </c>
      <c r="W140" s="160">
        <f>E140+G140+K140</f>
        <v>300838</v>
      </c>
      <c r="X140" s="606"/>
      <c r="Y140" s="388">
        <f t="shared" ref="Y140" si="68">SUM(Y130:Y139)</f>
        <v>0</v>
      </c>
      <c r="Z140" s="390">
        <v>218171</v>
      </c>
      <c r="AA140" s="391">
        <v>302500</v>
      </c>
    </row>
    <row r="141" spans="1:27" s="434" customFormat="1">
      <c r="A141" s="495"/>
      <c r="B141" s="504"/>
      <c r="C141" s="577"/>
      <c r="D141" s="577"/>
      <c r="E141" s="577"/>
      <c r="F141" s="577"/>
      <c r="G141" s="577"/>
      <c r="H141" s="415"/>
      <c r="I141" s="577"/>
      <c r="J141" s="577"/>
      <c r="K141" s="577"/>
      <c r="L141" s="578"/>
      <c r="M141" s="578"/>
      <c r="N141" s="578">
        <f t="shared" si="46"/>
        <v>0</v>
      </c>
      <c r="O141" s="579"/>
      <c r="P141" s="578">
        <f t="shared" si="42"/>
        <v>0</v>
      </c>
      <c r="Q141" s="580"/>
      <c r="R141" s="580"/>
      <c r="S141" s="580"/>
      <c r="T141" s="580"/>
      <c r="U141" s="580"/>
      <c r="V141" s="320">
        <f t="shared" si="64"/>
        <v>0</v>
      </c>
      <c r="W141" s="577"/>
      <c r="X141" s="581"/>
      <c r="Y141" s="580"/>
      <c r="Z141" s="582"/>
      <c r="AA141" s="321"/>
    </row>
    <row r="142" spans="1:27" ht="45.75" customHeight="1">
      <c r="A142" s="562">
        <f>A140+1</f>
        <v>350</v>
      </c>
      <c r="B142" s="502" t="s">
        <v>190</v>
      </c>
      <c r="C142" s="62">
        <v>6913663</v>
      </c>
      <c r="D142" s="238">
        <v>7285746.7831795923</v>
      </c>
      <c r="E142" s="298">
        <v>2052131</v>
      </c>
      <c r="F142" s="298">
        <f>'[3]Salary Summary 19 for 2019-2021'!L12</f>
        <v>2275217.7956682723</v>
      </c>
      <c r="G142" s="577">
        <f>F142</f>
        <v>2275217.7956682723</v>
      </c>
      <c r="H142" s="437" t="s">
        <v>598</v>
      </c>
      <c r="I142" s="298"/>
      <c r="J142" s="298">
        <f>'[3]Salary Summary 20 for 2019-2021'!P12</f>
        <v>2311490.0311741536</v>
      </c>
      <c r="K142" s="298">
        <f>J142</f>
        <v>2311490.0311741536</v>
      </c>
      <c r="L142" s="356"/>
      <c r="M142" s="356">
        <f>'Salary Summary 21 for 2022-2024'!M13</f>
        <v>2361939.9344935548</v>
      </c>
      <c r="N142" s="356">
        <f t="shared" si="46"/>
        <v>2361939.9344935548</v>
      </c>
      <c r="O142" s="301" t="s">
        <v>599</v>
      </c>
      <c r="P142" s="356">
        <f t="shared" si="42"/>
        <v>2361939.9344935548</v>
      </c>
      <c r="Q142" s="311">
        <f>'Salary Summary 21 for 2022-2024'!Q13</f>
        <v>2434475.1915977066</v>
      </c>
      <c r="R142" s="422"/>
      <c r="S142" s="311">
        <f>'Salary Summary 21 for 2022-2024'!U13</f>
        <v>2512275.3078812552</v>
      </c>
      <c r="T142" s="66">
        <f>R142+S142</f>
        <v>2512275.3078812552</v>
      </c>
      <c r="U142" s="66">
        <f>Q142+T142</f>
        <v>4946750.4994789623</v>
      </c>
      <c r="V142" s="66">
        <f t="shared" si="64"/>
        <v>7308690.433972517</v>
      </c>
      <c r="W142" s="298">
        <f>E142+G142+K142</f>
        <v>6638838.8268424254</v>
      </c>
      <c r="X142" s="600" t="s">
        <v>600</v>
      </c>
      <c r="Y142" s="607" t="s">
        <v>601</v>
      </c>
      <c r="Z142" s="608">
        <v>4953561.8069989607</v>
      </c>
      <c r="AA142" s="68">
        <v>6462317.83154401</v>
      </c>
    </row>
    <row r="143" spans="1:27">
      <c r="A143" s="562">
        <f t="shared" ref="A143:A206" si="69">A142+1</f>
        <v>351</v>
      </c>
      <c r="B143" s="502" t="s">
        <v>602</v>
      </c>
      <c r="C143" s="62">
        <v>-750000</v>
      </c>
      <c r="D143" s="62">
        <v>-570000</v>
      </c>
      <c r="E143" s="62"/>
      <c r="F143" s="62"/>
      <c r="G143" s="298"/>
      <c r="H143" s="437"/>
      <c r="I143" s="62"/>
      <c r="J143" s="62"/>
      <c r="K143" s="62"/>
      <c r="L143" s="56"/>
      <c r="M143" s="56"/>
      <c r="N143" s="56">
        <f t="shared" si="46"/>
        <v>0</v>
      </c>
      <c r="O143" s="332"/>
      <c r="P143" s="56">
        <f t="shared" ref="P143:P206" si="70">N143</f>
        <v>0</v>
      </c>
      <c r="Q143" s="422"/>
      <c r="R143" s="422"/>
      <c r="S143" s="422"/>
      <c r="T143" s="66">
        <f>R143+S143</f>
        <v>0</v>
      </c>
      <c r="U143" s="66">
        <f>Q143+T143</f>
        <v>0</v>
      </c>
      <c r="V143" s="66">
        <f t="shared" si="64"/>
        <v>0</v>
      </c>
      <c r="W143" s="62"/>
      <c r="X143" s="137"/>
      <c r="Y143" s="609">
        <f>U142-Z142</f>
        <v>-6811.3075199984014</v>
      </c>
      <c r="Z143" s="60">
        <v>0</v>
      </c>
      <c r="AA143" s="68">
        <v>0</v>
      </c>
    </row>
    <row r="144" spans="1:27" s="434" customFormat="1">
      <c r="A144" s="610">
        <f t="shared" si="69"/>
        <v>352</v>
      </c>
      <c r="B144" s="509" t="s">
        <v>603</v>
      </c>
      <c r="C144" s="510">
        <f>C142+C140+C127+C100+C87+C74+C61+C49+C35+C22+C143</f>
        <v>10032483</v>
      </c>
      <c r="D144" s="510">
        <f t="shared" ref="D144:N144" si="71">D142+D140+D127+D100+D87+D74+D61+D49+D35+D22+D143</f>
        <v>10680016.783179592</v>
      </c>
      <c r="E144" s="510">
        <f t="shared" si="71"/>
        <v>3012830</v>
      </c>
      <c r="F144" s="510">
        <f t="shared" si="71"/>
        <v>3503823.4623349388</v>
      </c>
      <c r="G144" s="510">
        <f t="shared" si="71"/>
        <v>3162819.0456682723</v>
      </c>
      <c r="H144" s="510"/>
      <c r="I144" s="510">
        <f t="shared" si="71"/>
        <v>493500</v>
      </c>
      <c r="J144" s="510">
        <f t="shared" si="71"/>
        <v>3496276.0311741536</v>
      </c>
      <c r="K144" s="510">
        <f t="shared" si="71"/>
        <v>3989776.0311741536</v>
      </c>
      <c r="L144" s="511">
        <f t="shared" si="71"/>
        <v>493500</v>
      </c>
      <c r="M144" s="511">
        <f t="shared" si="71"/>
        <v>3507263.9344935548</v>
      </c>
      <c r="N144" s="511">
        <f t="shared" si="71"/>
        <v>3995763.9344935548</v>
      </c>
      <c r="O144" s="512"/>
      <c r="P144" s="511">
        <f t="shared" si="70"/>
        <v>3995763.9344935548</v>
      </c>
      <c r="Q144" s="545">
        <f>Q142+Q140+Q127+Q100+Q87+Q74+Q61+Q49+Q35+Q22+Q143</f>
        <v>3449694.1915977066</v>
      </c>
      <c r="R144" s="545">
        <f t="shared" ref="R144:U144" si="72">R142+R140+R127+R100+R87+R74+R61+R49+R35+R22+R143</f>
        <v>366500</v>
      </c>
      <c r="S144" s="545">
        <f t="shared" si="72"/>
        <v>3547765.3078812552</v>
      </c>
      <c r="T144" s="545">
        <f t="shared" si="72"/>
        <v>3894290.3078812552</v>
      </c>
      <c r="U144" s="545">
        <f t="shared" si="72"/>
        <v>7343984.4994789623</v>
      </c>
      <c r="V144" s="545">
        <f>V142+V140+V127+V100+V87+V74+V61+V49+V35+V22+V143</f>
        <v>11339748.433972517</v>
      </c>
      <c r="W144" s="510">
        <f>E144+G144+K144</f>
        <v>10165425.076842425</v>
      </c>
      <c r="X144" s="317"/>
      <c r="Y144" s="611">
        <f>U144-Z144</f>
        <v>-439196.3075199984</v>
      </c>
      <c r="Z144" s="515">
        <v>7783180.8069989607</v>
      </c>
      <c r="AA144" s="612">
        <v>10646380.83154401</v>
      </c>
    </row>
    <row r="145" spans="1:27">
      <c r="A145" s="562">
        <f t="shared" si="69"/>
        <v>353</v>
      </c>
      <c r="B145" s="502"/>
      <c r="C145" s="62"/>
      <c r="D145" s="62"/>
      <c r="E145" s="62"/>
      <c r="F145" s="62"/>
      <c r="G145" s="613"/>
      <c r="H145" s="306"/>
      <c r="I145" s="62"/>
      <c r="J145" s="62"/>
      <c r="K145" s="62"/>
      <c r="L145" s="56"/>
      <c r="M145" s="56"/>
      <c r="N145" s="56">
        <f t="shared" ref="N145:N207" si="73">L145+M145</f>
        <v>0</v>
      </c>
      <c r="O145" s="332"/>
      <c r="P145" s="56">
        <f t="shared" si="70"/>
        <v>0</v>
      </c>
      <c r="Q145" s="422"/>
      <c r="R145" s="422"/>
      <c r="S145" s="422"/>
      <c r="T145" s="422"/>
      <c r="U145" s="422"/>
      <c r="V145" s="294">
        <f t="shared" si="64"/>
        <v>0</v>
      </c>
      <c r="W145" s="62"/>
      <c r="X145" s="423"/>
      <c r="Y145" s="609"/>
      <c r="Z145" s="60"/>
      <c r="AA145" s="297"/>
    </row>
    <row r="146" spans="1:27">
      <c r="A146" s="495">
        <f t="shared" si="69"/>
        <v>354</v>
      </c>
      <c r="B146" s="504" t="s">
        <v>604</v>
      </c>
      <c r="C146" s="62"/>
      <c r="D146" s="62"/>
      <c r="E146" s="62"/>
      <c r="F146" s="62"/>
      <c r="G146" s="62"/>
      <c r="H146" s="63"/>
      <c r="I146" s="62"/>
      <c r="J146" s="62"/>
      <c r="K146" s="62"/>
      <c r="L146" s="56"/>
      <c r="M146" s="56"/>
      <c r="N146" s="56">
        <f t="shared" si="73"/>
        <v>0</v>
      </c>
      <c r="O146" s="332"/>
      <c r="P146" s="56">
        <f t="shared" si="70"/>
        <v>0</v>
      </c>
      <c r="Q146" s="422"/>
      <c r="R146" s="422"/>
      <c r="S146" s="422"/>
      <c r="T146" s="422"/>
      <c r="U146" s="422"/>
      <c r="V146" s="294">
        <f t="shared" si="64"/>
        <v>0</v>
      </c>
      <c r="W146" s="62"/>
      <c r="X146" s="423"/>
      <c r="Y146" s="422"/>
      <c r="Z146" s="60"/>
      <c r="AA146" s="297"/>
    </row>
    <row r="147" spans="1:27">
      <c r="A147" s="562">
        <f t="shared" si="69"/>
        <v>355</v>
      </c>
      <c r="B147" s="437" t="s">
        <v>605</v>
      </c>
      <c r="C147" s="238">
        <v>100000</v>
      </c>
      <c r="D147" s="300"/>
      <c r="E147" s="238"/>
      <c r="F147" s="238"/>
      <c r="G147" s="238"/>
      <c r="H147" s="300"/>
      <c r="I147" s="238"/>
      <c r="J147" s="238"/>
      <c r="K147" s="238"/>
      <c r="L147" s="239"/>
      <c r="M147" s="239"/>
      <c r="N147" s="239">
        <f t="shared" si="73"/>
        <v>0</v>
      </c>
      <c r="O147" s="301"/>
      <c r="P147" s="239">
        <f t="shared" si="70"/>
        <v>0</v>
      </c>
      <c r="Q147" s="422"/>
      <c r="R147" s="422"/>
      <c r="S147" s="422"/>
      <c r="T147" s="66">
        <f t="shared" ref="T147:T161" si="74">R147+S147</f>
        <v>0</v>
      </c>
      <c r="U147" s="66">
        <f t="shared" ref="U147:U161" si="75">Q147+T147</f>
        <v>0</v>
      </c>
      <c r="V147" s="66">
        <f t="shared" si="64"/>
        <v>0</v>
      </c>
      <c r="W147" s="238"/>
      <c r="X147" s="137"/>
      <c r="Y147" s="422"/>
      <c r="Z147" s="346">
        <v>0</v>
      </c>
      <c r="AA147" s="68">
        <v>0</v>
      </c>
    </row>
    <row r="148" spans="1:27">
      <c r="A148" s="562">
        <f t="shared" si="69"/>
        <v>356</v>
      </c>
      <c r="B148" s="437" t="s">
        <v>606</v>
      </c>
      <c r="C148" s="238"/>
      <c r="D148" s="300"/>
      <c r="E148" s="238"/>
      <c r="F148" s="238"/>
      <c r="G148" s="238"/>
      <c r="H148" s="300"/>
      <c r="I148" s="238"/>
      <c r="J148" s="238"/>
      <c r="K148" s="238"/>
      <c r="L148" s="239"/>
      <c r="M148" s="239"/>
      <c r="N148" s="239">
        <f t="shared" si="73"/>
        <v>0</v>
      </c>
      <c r="O148" s="312"/>
      <c r="P148" s="239">
        <f t="shared" si="70"/>
        <v>0</v>
      </c>
      <c r="Q148" s="422"/>
      <c r="R148" s="422"/>
      <c r="S148" s="422"/>
      <c r="T148" s="66">
        <f t="shared" si="74"/>
        <v>0</v>
      </c>
      <c r="U148" s="66">
        <f t="shared" si="75"/>
        <v>0</v>
      </c>
      <c r="V148" s="66">
        <f t="shared" si="64"/>
        <v>0</v>
      </c>
      <c r="W148" s="238"/>
      <c r="X148" s="137"/>
      <c r="Y148" s="422"/>
      <c r="Z148" s="346">
        <v>0</v>
      </c>
      <c r="AA148" s="68">
        <v>0</v>
      </c>
    </row>
    <row r="149" spans="1:27" ht="42" customHeight="1">
      <c r="A149" s="562" t="s">
        <v>607</v>
      </c>
      <c r="B149" s="437" t="s">
        <v>608</v>
      </c>
      <c r="C149" s="238">
        <v>145602</v>
      </c>
      <c r="D149" s="300">
        <v>250000</v>
      </c>
      <c r="E149" s="418">
        <v>47555</v>
      </c>
      <c r="F149" s="418">
        <v>93333.33</v>
      </c>
      <c r="G149" s="418">
        <v>60000</v>
      </c>
      <c r="H149" s="614" t="s">
        <v>609</v>
      </c>
      <c r="I149" s="418">
        <v>25000</v>
      </c>
      <c r="J149" s="418">
        <v>58333</v>
      </c>
      <c r="K149" s="418">
        <f>J149</f>
        <v>58333</v>
      </c>
      <c r="L149" s="615">
        <v>25000</v>
      </c>
      <c r="M149" s="615">
        <v>50000</v>
      </c>
      <c r="N149" s="615">
        <f t="shared" si="73"/>
        <v>75000</v>
      </c>
      <c r="O149" s="312"/>
      <c r="P149" s="615">
        <f t="shared" si="70"/>
        <v>75000</v>
      </c>
      <c r="Q149" s="294">
        <v>50000</v>
      </c>
      <c r="R149" s="294"/>
      <c r="S149" s="507">
        <v>35000</v>
      </c>
      <c r="T149" s="66">
        <f t="shared" si="74"/>
        <v>35000</v>
      </c>
      <c r="U149" s="66">
        <f t="shared" si="75"/>
        <v>85000</v>
      </c>
      <c r="V149" s="66">
        <f t="shared" si="64"/>
        <v>160000</v>
      </c>
      <c r="W149" s="418"/>
      <c r="X149" s="585" t="s">
        <v>610</v>
      </c>
      <c r="Y149" s="616" t="s">
        <v>611</v>
      </c>
      <c r="Z149" s="617">
        <v>100000</v>
      </c>
      <c r="AA149" s="68">
        <v>250000</v>
      </c>
    </row>
    <row r="150" spans="1:27" ht="105" customHeight="1">
      <c r="A150" s="562" t="s">
        <v>612</v>
      </c>
      <c r="B150" s="523" t="s">
        <v>613</v>
      </c>
      <c r="C150" s="238"/>
      <c r="D150" s="300">
        <v>150000</v>
      </c>
      <c r="E150" s="418">
        <v>0</v>
      </c>
      <c r="F150" s="418">
        <v>50000</v>
      </c>
      <c r="G150" s="418">
        <v>50000</v>
      </c>
      <c r="H150" s="614" t="s">
        <v>614</v>
      </c>
      <c r="I150" s="418"/>
      <c r="J150" s="418">
        <v>50000</v>
      </c>
      <c r="K150" s="418">
        <f t="shared" ref="K150:K161" si="76">J150</f>
        <v>50000</v>
      </c>
      <c r="L150" s="615"/>
      <c r="M150" s="615">
        <v>175000</v>
      </c>
      <c r="N150" s="615">
        <f t="shared" si="73"/>
        <v>175000</v>
      </c>
      <c r="O150" s="312" t="s">
        <v>615</v>
      </c>
      <c r="P150" s="615">
        <f t="shared" si="70"/>
        <v>175000</v>
      </c>
      <c r="Q150" s="507">
        <v>125000</v>
      </c>
      <c r="R150" s="294"/>
      <c r="S150" s="507">
        <v>125000</v>
      </c>
      <c r="T150" s="66">
        <f t="shared" si="74"/>
        <v>125000</v>
      </c>
      <c r="U150" s="66">
        <f t="shared" si="75"/>
        <v>250000</v>
      </c>
      <c r="V150" s="66">
        <f t="shared" si="64"/>
        <v>425000</v>
      </c>
      <c r="W150" s="418"/>
      <c r="X150" s="137"/>
      <c r="Y150" s="618" t="s">
        <v>616</v>
      </c>
      <c r="Z150" s="617">
        <v>260000</v>
      </c>
      <c r="AA150" s="68">
        <v>150000</v>
      </c>
    </row>
    <row r="151" spans="1:27" ht="28.5">
      <c r="A151" s="562">
        <v>358</v>
      </c>
      <c r="B151" s="437" t="s">
        <v>617</v>
      </c>
      <c r="C151" s="238">
        <v>106000</v>
      </c>
      <c r="D151" s="300">
        <v>146000</v>
      </c>
      <c r="E151" s="418">
        <v>21203</v>
      </c>
      <c r="F151" s="418">
        <v>48667</v>
      </c>
      <c r="G151" s="238">
        <v>31650</v>
      </c>
      <c r="H151" s="614"/>
      <c r="I151" s="418"/>
      <c r="J151" s="418">
        <v>48667</v>
      </c>
      <c r="K151" s="418">
        <f t="shared" si="76"/>
        <v>48667</v>
      </c>
      <c r="L151" s="615"/>
      <c r="M151" s="615">
        <v>48666</v>
      </c>
      <c r="N151" s="615">
        <f t="shared" si="73"/>
        <v>48666</v>
      </c>
      <c r="O151" s="312"/>
      <c r="P151" s="615">
        <f t="shared" si="70"/>
        <v>48666</v>
      </c>
      <c r="Q151" s="294">
        <v>48666</v>
      </c>
      <c r="R151" s="294"/>
      <c r="S151" s="294">
        <v>48667</v>
      </c>
      <c r="T151" s="66">
        <f t="shared" si="74"/>
        <v>48667</v>
      </c>
      <c r="U151" s="66">
        <f t="shared" si="75"/>
        <v>97333</v>
      </c>
      <c r="V151" s="66">
        <f t="shared" si="64"/>
        <v>145999</v>
      </c>
      <c r="W151" s="418"/>
      <c r="X151" s="137"/>
      <c r="Y151" s="618"/>
      <c r="Z151" s="617">
        <v>97333</v>
      </c>
      <c r="AA151" s="68">
        <v>146000</v>
      </c>
    </row>
    <row r="152" spans="1:27" ht="28.5">
      <c r="A152" s="562">
        <f t="shared" si="69"/>
        <v>359</v>
      </c>
      <c r="B152" s="336" t="s">
        <v>618</v>
      </c>
      <c r="C152" s="238">
        <v>400000</v>
      </c>
      <c r="D152" s="300">
        <v>399999.66666666669</v>
      </c>
      <c r="E152" s="418">
        <v>133275</v>
      </c>
      <c r="F152" s="418">
        <v>133333.32999999999</v>
      </c>
      <c r="G152" s="418">
        <v>132638</v>
      </c>
      <c r="H152" s="614" t="s">
        <v>544</v>
      </c>
      <c r="I152" s="418"/>
      <c r="J152" s="418">
        <v>133333</v>
      </c>
      <c r="K152" s="418">
        <f t="shared" si="76"/>
        <v>133333</v>
      </c>
      <c r="L152" s="615"/>
      <c r="M152" s="615">
        <v>160000</v>
      </c>
      <c r="N152" s="615">
        <f t="shared" si="73"/>
        <v>160000</v>
      </c>
      <c r="O152" s="312" t="s">
        <v>619</v>
      </c>
      <c r="P152" s="615">
        <f t="shared" si="70"/>
        <v>160000</v>
      </c>
      <c r="Q152" s="507">
        <v>140000</v>
      </c>
      <c r="R152" s="294"/>
      <c r="S152" s="507">
        <v>140000</v>
      </c>
      <c r="T152" s="66">
        <f t="shared" si="74"/>
        <v>140000</v>
      </c>
      <c r="U152" s="66">
        <f t="shared" si="75"/>
        <v>280000</v>
      </c>
      <c r="V152" s="66">
        <f t="shared" si="64"/>
        <v>440000</v>
      </c>
      <c r="W152" s="418"/>
      <c r="X152" s="137"/>
      <c r="Y152" s="618" t="s">
        <v>620</v>
      </c>
      <c r="Z152" s="617">
        <v>290000</v>
      </c>
      <c r="AA152" s="68">
        <v>399999.66666666663</v>
      </c>
    </row>
    <row r="153" spans="1:27" ht="47.25" customHeight="1">
      <c r="A153" s="562">
        <f t="shared" si="69"/>
        <v>360</v>
      </c>
      <c r="B153" s="437" t="s">
        <v>621</v>
      </c>
      <c r="C153" s="238">
        <v>605000</v>
      </c>
      <c r="D153" s="300">
        <v>230000</v>
      </c>
      <c r="E153" s="238">
        <v>145056</v>
      </c>
      <c r="F153" s="238">
        <v>80000</v>
      </c>
      <c r="G153" s="238">
        <v>15000</v>
      </c>
      <c r="H153" s="300" t="s">
        <v>622</v>
      </c>
      <c r="I153" s="238">
        <v>60000</v>
      </c>
      <c r="J153" s="238">
        <v>20000</v>
      </c>
      <c r="K153" s="418">
        <f t="shared" si="76"/>
        <v>20000</v>
      </c>
      <c r="L153" s="239">
        <v>60000</v>
      </c>
      <c r="M153" s="615">
        <v>50000</v>
      </c>
      <c r="N153" s="615">
        <f t="shared" si="73"/>
        <v>110000</v>
      </c>
      <c r="O153" s="312" t="s">
        <v>623</v>
      </c>
      <c r="P153" s="615">
        <f t="shared" si="70"/>
        <v>110000</v>
      </c>
      <c r="Q153" s="294">
        <v>80000</v>
      </c>
      <c r="R153" s="294"/>
      <c r="S153" s="294">
        <v>100000</v>
      </c>
      <c r="T153" s="66">
        <f t="shared" si="74"/>
        <v>100000</v>
      </c>
      <c r="U153" s="66">
        <f t="shared" si="75"/>
        <v>180000</v>
      </c>
      <c r="V153" s="66">
        <f t="shared" si="64"/>
        <v>290000</v>
      </c>
      <c r="W153" s="418"/>
      <c r="X153" s="137"/>
      <c r="Y153" s="618"/>
      <c r="Z153" s="617">
        <v>180000</v>
      </c>
      <c r="AA153" s="68">
        <v>230000</v>
      </c>
    </row>
    <row r="154" spans="1:27">
      <c r="A154" s="562" t="s">
        <v>624</v>
      </c>
      <c r="B154" s="619" t="s">
        <v>625</v>
      </c>
      <c r="C154" s="238">
        <v>0</v>
      </c>
      <c r="D154" s="300">
        <v>1047000</v>
      </c>
      <c r="E154" s="238"/>
      <c r="F154" s="238">
        <v>0</v>
      </c>
      <c r="G154" s="238"/>
      <c r="H154" s="300"/>
      <c r="I154" s="238"/>
      <c r="J154" s="238"/>
      <c r="K154" s="418">
        <f t="shared" si="76"/>
        <v>0</v>
      </c>
      <c r="L154" s="239"/>
      <c r="M154" s="615"/>
      <c r="N154" s="615">
        <f t="shared" si="73"/>
        <v>0</v>
      </c>
      <c r="O154" s="312"/>
      <c r="P154" s="615">
        <f t="shared" si="70"/>
        <v>0</v>
      </c>
      <c r="Q154" s="294"/>
      <c r="R154" s="294"/>
      <c r="S154" s="294"/>
      <c r="T154" s="66">
        <f t="shared" si="74"/>
        <v>0</v>
      </c>
      <c r="U154" s="66">
        <f t="shared" si="75"/>
        <v>0</v>
      </c>
      <c r="V154" s="66">
        <f t="shared" si="64"/>
        <v>0</v>
      </c>
      <c r="W154" s="418"/>
      <c r="X154" s="137"/>
      <c r="Y154" s="618"/>
      <c r="Z154" s="617">
        <v>0</v>
      </c>
      <c r="AA154" s="68">
        <v>0</v>
      </c>
    </row>
    <row r="155" spans="1:27" ht="41.25" customHeight="1">
      <c r="A155" s="562" t="s">
        <v>626</v>
      </c>
      <c r="B155" s="437" t="s">
        <v>627</v>
      </c>
      <c r="C155" s="238"/>
      <c r="D155" s="300">
        <v>0</v>
      </c>
      <c r="E155" s="238">
        <v>60000</v>
      </c>
      <c r="F155" s="238">
        <v>832000</v>
      </c>
      <c r="G155" s="238">
        <v>832000</v>
      </c>
      <c r="H155" s="300" t="s">
        <v>628</v>
      </c>
      <c r="I155" s="238">
        <v>0</v>
      </c>
      <c r="J155" s="238">
        <v>370000</v>
      </c>
      <c r="K155" s="418">
        <f t="shared" si="76"/>
        <v>370000</v>
      </c>
      <c r="L155" s="239">
        <v>0</v>
      </c>
      <c r="M155" s="615">
        <v>80000</v>
      </c>
      <c r="N155" s="615">
        <f t="shared" si="73"/>
        <v>80000</v>
      </c>
      <c r="O155" s="312" t="s">
        <v>629</v>
      </c>
      <c r="P155" s="615">
        <f t="shared" si="70"/>
        <v>80000</v>
      </c>
      <c r="Q155" s="294">
        <v>802000</v>
      </c>
      <c r="R155" s="294"/>
      <c r="S155" s="294">
        <v>15000</v>
      </c>
      <c r="T155" s="66">
        <f t="shared" si="74"/>
        <v>15000</v>
      </c>
      <c r="U155" s="66">
        <f t="shared" si="75"/>
        <v>817000</v>
      </c>
      <c r="V155" s="66">
        <f t="shared" si="64"/>
        <v>897000</v>
      </c>
      <c r="W155" s="418">
        <f>E155+G155+K155-832000+60000</f>
        <v>490000</v>
      </c>
      <c r="X155" s="137"/>
      <c r="Y155" s="618" t="s">
        <v>630</v>
      </c>
      <c r="Z155" s="617">
        <v>817000</v>
      </c>
      <c r="AA155" s="68">
        <v>897000</v>
      </c>
    </row>
    <row r="156" spans="1:27" ht="17.95" customHeight="1">
      <c r="A156" s="562" t="s">
        <v>631</v>
      </c>
      <c r="B156" s="437" t="s">
        <v>632</v>
      </c>
      <c r="C156" s="238"/>
      <c r="D156" s="300">
        <v>0</v>
      </c>
      <c r="E156" s="238">
        <v>277869</v>
      </c>
      <c r="F156" s="238">
        <v>100000</v>
      </c>
      <c r="G156" s="238">
        <v>0</v>
      </c>
      <c r="H156" s="300" t="s">
        <v>633</v>
      </c>
      <c r="I156" s="238"/>
      <c r="J156" s="238">
        <v>75000</v>
      </c>
      <c r="K156" s="418">
        <f t="shared" si="76"/>
        <v>75000</v>
      </c>
      <c r="L156" s="239"/>
      <c r="M156" s="615">
        <v>40000</v>
      </c>
      <c r="N156" s="615">
        <f t="shared" si="73"/>
        <v>40000</v>
      </c>
      <c r="O156" s="312"/>
      <c r="P156" s="615">
        <f t="shared" si="70"/>
        <v>40000</v>
      </c>
      <c r="Q156" s="294">
        <v>270000</v>
      </c>
      <c r="R156" s="294"/>
      <c r="S156" s="294">
        <v>40000</v>
      </c>
      <c r="T156" s="66">
        <f t="shared" si="74"/>
        <v>40000</v>
      </c>
      <c r="U156" s="66">
        <f t="shared" si="75"/>
        <v>310000</v>
      </c>
      <c r="V156" s="66">
        <f t="shared" si="64"/>
        <v>350000</v>
      </c>
      <c r="W156" s="418"/>
      <c r="X156" s="137"/>
      <c r="Y156" s="618"/>
      <c r="Z156" s="617">
        <v>310000</v>
      </c>
      <c r="AA156" s="68">
        <v>350000</v>
      </c>
    </row>
    <row r="157" spans="1:27" ht="42.75">
      <c r="A157" s="562">
        <v>362</v>
      </c>
      <c r="B157" s="619" t="s">
        <v>634</v>
      </c>
      <c r="C157" s="238"/>
      <c r="D157" s="300">
        <v>200000</v>
      </c>
      <c r="E157" s="238"/>
      <c r="F157" s="238"/>
      <c r="G157" s="238"/>
      <c r="H157" s="300"/>
      <c r="I157" s="238"/>
      <c r="J157" s="238">
        <v>0</v>
      </c>
      <c r="K157" s="418">
        <f t="shared" si="76"/>
        <v>0</v>
      </c>
      <c r="L157" s="239"/>
      <c r="M157" s="615">
        <v>80000</v>
      </c>
      <c r="N157" s="615">
        <f t="shared" si="73"/>
        <v>80000</v>
      </c>
      <c r="O157" s="312" t="s">
        <v>635</v>
      </c>
      <c r="P157" s="615">
        <f t="shared" si="70"/>
        <v>80000</v>
      </c>
      <c r="Q157" s="294">
        <v>100000</v>
      </c>
      <c r="R157" s="294"/>
      <c r="S157" s="294">
        <v>100000</v>
      </c>
      <c r="T157" s="66">
        <f t="shared" si="74"/>
        <v>100000</v>
      </c>
      <c r="U157" s="66">
        <f t="shared" si="75"/>
        <v>200000</v>
      </c>
      <c r="V157" s="66">
        <f t="shared" si="64"/>
        <v>280000</v>
      </c>
      <c r="W157" s="418"/>
      <c r="X157" s="137"/>
      <c r="Y157" s="618" t="s">
        <v>635</v>
      </c>
      <c r="Z157" s="617">
        <v>200000</v>
      </c>
      <c r="AA157" s="68">
        <v>0</v>
      </c>
    </row>
    <row r="158" spans="1:27">
      <c r="A158" s="562">
        <f t="shared" si="69"/>
        <v>363</v>
      </c>
      <c r="B158" s="620" t="s">
        <v>605</v>
      </c>
      <c r="C158" s="238"/>
      <c r="D158" s="300">
        <v>60000</v>
      </c>
      <c r="E158" s="621"/>
      <c r="F158" s="238">
        <v>20000</v>
      </c>
      <c r="G158" s="238">
        <v>4000</v>
      </c>
      <c r="H158" s="300"/>
      <c r="I158" s="238"/>
      <c r="J158" s="238">
        <v>20000</v>
      </c>
      <c r="K158" s="418">
        <f t="shared" si="76"/>
        <v>20000</v>
      </c>
      <c r="L158" s="239"/>
      <c r="M158" s="615"/>
      <c r="N158" s="615">
        <f t="shared" si="73"/>
        <v>0</v>
      </c>
      <c r="O158" s="312"/>
      <c r="P158" s="615">
        <f t="shared" si="70"/>
        <v>0</v>
      </c>
      <c r="Q158" s="294">
        <v>0</v>
      </c>
      <c r="R158" s="294"/>
      <c r="S158" s="294">
        <v>0</v>
      </c>
      <c r="T158" s="66">
        <f t="shared" si="74"/>
        <v>0</v>
      </c>
      <c r="U158" s="66">
        <f t="shared" si="75"/>
        <v>0</v>
      </c>
      <c r="V158" s="66">
        <f t="shared" si="64"/>
        <v>0</v>
      </c>
      <c r="W158" s="418"/>
      <c r="X158" s="137"/>
      <c r="Y158" s="618"/>
      <c r="Z158" s="617">
        <v>0</v>
      </c>
      <c r="AA158" s="68">
        <v>60000</v>
      </c>
    </row>
    <row r="159" spans="1:27" ht="19.5" customHeight="1">
      <c r="A159" s="562">
        <f t="shared" si="69"/>
        <v>364</v>
      </c>
      <c r="B159" s="437" t="s">
        <v>636</v>
      </c>
      <c r="C159" s="238">
        <v>184400</v>
      </c>
      <c r="D159" s="300">
        <v>201000</v>
      </c>
      <c r="E159" s="238">
        <v>89100</v>
      </c>
      <c r="F159" s="238">
        <v>67000</v>
      </c>
      <c r="G159" s="238">
        <v>42000</v>
      </c>
      <c r="H159" s="300" t="s">
        <v>637</v>
      </c>
      <c r="I159" s="238"/>
      <c r="J159" s="238">
        <v>67000</v>
      </c>
      <c r="K159" s="418">
        <f t="shared" si="76"/>
        <v>67000</v>
      </c>
      <c r="L159" s="239"/>
      <c r="M159" s="615">
        <v>67000</v>
      </c>
      <c r="N159" s="615">
        <f t="shared" si="73"/>
        <v>67000</v>
      </c>
      <c r="O159" s="312" t="s">
        <v>638</v>
      </c>
      <c r="P159" s="615">
        <f t="shared" si="70"/>
        <v>67000</v>
      </c>
      <c r="Q159" s="507">
        <v>66000</v>
      </c>
      <c r="R159" s="294"/>
      <c r="S159" s="507">
        <v>66000</v>
      </c>
      <c r="T159" s="66">
        <f t="shared" si="74"/>
        <v>66000</v>
      </c>
      <c r="U159" s="66">
        <f t="shared" si="75"/>
        <v>132000</v>
      </c>
      <c r="V159" s="66">
        <f t="shared" si="64"/>
        <v>199000</v>
      </c>
      <c r="W159" s="418"/>
      <c r="X159" s="137"/>
      <c r="Y159" s="423" t="s">
        <v>638</v>
      </c>
      <c r="Z159" s="617">
        <v>134000</v>
      </c>
      <c r="AA159" s="68">
        <v>201000</v>
      </c>
    </row>
    <row r="160" spans="1:27">
      <c r="A160" s="562" t="s">
        <v>639</v>
      </c>
      <c r="B160" s="437" t="s">
        <v>497</v>
      </c>
      <c r="C160" s="238"/>
      <c r="D160" s="300"/>
      <c r="E160" s="238"/>
      <c r="F160" s="238"/>
      <c r="G160" s="238"/>
      <c r="H160" s="300"/>
      <c r="I160" s="238">
        <v>85000</v>
      </c>
      <c r="J160" s="238"/>
      <c r="K160" s="238">
        <f>I160</f>
        <v>85000</v>
      </c>
      <c r="L160" s="239"/>
      <c r="M160" s="615"/>
      <c r="N160" s="615"/>
      <c r="O160" s="312"/>
      <c r="P160" s="615">
        <f t="shared" si="70"/>
        <v>0</v>
      </c>
      <c r="Q160" s="422"/>
      <c r="R160" s="422"/>
      <c r="S160" s="422"/>
      <c r="T160" s="66">
        <f t="shared" si="74"/>
        <v>0</v>
      </c>
      <c r="U160" s="66">
        <f t="shared" si="75"/>
        <v>0</v>
      </c>
      <c r="V160" s="66">
        <f t="shared" si="64"/>
        <v>0</v>
      </c>
      <c r="W160" s="418"/>
      <c r="X160" s="137"/>
      <c r="Y160" s="422"/>
      <c r="Z160" s="617">
        <v>0</v>
      </c>
      <c r="AA160" s="68"/>
    </row>
    <row r="161" spans="1:27" ht="88.15" customHeight="1">
      <c r="A161" s="562">
        <f>A159+1</f>
        <v>365</v>
      </c>
      <c r="B161" s="298" t="s">
        <v>190</v>
      </c>
      <c r="C161" s="238">
        <f>'[4]Salary Summary GC Adopted'!Y21</f>
        <v>1393501.8011782919</v>
      </c>
      <c r="D161" s="300">
        <v>1730890.5952067398</v>
      </c>
      <c r="E161" s="298">
        <v>534298</v>
      </c>
      <c r="F161" s="298">
        <f>'[3]Salary Summary 19 for 2019-2021'!L23</f>
        <v>551894.62036215398</v>
      </c>
      <c r="G161" s="298">
        <v>551894.62036215398</v>
      </c>
      <c r="H161" s="437"/>
      <c r="I161" s="298"/>
      <c r="J161" s="298">
        <f>'[3]Salary Summary 20 for 2019-2021'!P23</f>
        <v>598653.19053777412</v>
      </c>
      <c r="K161" s="418">
        <f t="shared" si="76"/>
        <v>598653.19053777412</v>
      </c>
      <c r="L161" s="356"/>
      <c r="M161" s="615">
        <f>'Salary Summary 21 for 2022-2024'!M24+12000</f>
        <v>685843.08171818708</v>
      </c>
      <c r="N161" s="615">
        <f t="shared" si="73"/>
        <v>685843.08171818708</v>
      </c>
      <c r="O161" s="312" t="s">
        <v>640</v>
      </c>
      <c r="P161" s="615">
        <f t="shared" si="70"/>
        <v>685843.08171818708</v>
      </c>
      <c r="Q161" s="583">
        <f>'Salary Summary 21 for 2022-2024'!Q24+12000</f>
        <v>708259.31886180909</v>
      </c>
      <c r="R161" s="422"/>
      <c r="S161" s="583">
        <f>'Salary Summary 21 for 2022-2024'!U24+12000</f>
        <v>730903.35082616226</v>
      </c>
      <c r="T161" s="66">
        <f t="shared" si="74"/>
        <v>730903.35082616226</v>
      </c>
      <c r="U161" s="66">
        <f t="shared" si="75"/>
        <v>1439162.6696879715</v>
      </c>
      <c r="V161" s="66">
        <f t="shared" si="64"/>
        <v>2125005.7514061583</v>
      </c>
      <c r="W161" s="418"/>
      <c r="X161" s="137"/>
      <c r="Y161" s="622" t="s">
        <v>640</v>
      </c>
      <c r="Z161" s="617">
        <v>1439162.6696879715</v>
      </c>
      <c r="AA161" s="68">
        <v>1674560.6328222533</v>
      </c>
    </row>
    <row r="162" spans="1:27" s="434" customFormat="1">
      <c r="A162" s="313">
        <f t="shared" si="69"/>
        <v>366</v>
      </c>
      <c r="B162" s="525" t="s">
        <v>641</v>
      </c>
      <c r="C162" s="510">
        <f>SUM(C147:C161)</f>
        <v>2934503.8011782919</v>
      </c>
      <c r="D162" s="510">
        <f t="shared" ref="D162:K162" si="77">SUM(D149:D161)</f>
        <v>4414890.2618734073</v>
      </c>
      <c r="E162" s="510">
        <f t="shared" si="77"/>
        <v>1308356</v>
      </c>
      <c r="F162" s="510">
        <f t="shared" si="77"/>
        <v>1976228.2803621541</v>
      </c>
      <c r="G162" s="510">
        <f t="shared" si="77"/>
        <v>1719182.620362154</v>
      </c>
      <c r="H162" s="510">
        <f t="shared" si="77"/>
        <v>0</v>
      </c>
      <c r="I162" s="510">
        <f>SUM(I149:I161)</f>
        <v>170000</v>
      </c>
      <c r="J162" s="510">
        <f t="shared" si="77"/>
        <v>1440986.190537774</v>
      </c>
      <c r="K162" s="510">
        <f t="shared" si="77"/>
        <v>1525986.190537774</v>
      </c>
      <c r="L162" s="511">
        <f>SUM(L149:L161)</f>
        <v>85000</v>
      </c>
      <c r="M162" s="511">
        <f t="shared" ref="M162:N162" si="78">SUM(M149:M161)</f>
        <v>1436509.0817181871</v>
      </c>
      <c r="N162" s="511">
        <f t="shared" si="78"/>
        <v>1521509.0817181871</v>
      </c>
      <c r="O162" s="512"/>
      <c r="P162" s="511">
        <f t="shared" si="70"/>
        <v>1521509.0817181871</v>
      </c>
      <c r="Q162" s="611">
        <f>SUM(Q147:Q161)</f>
        <v>2389925.3188618091</v>
      </c>
      <c r="R162" s="611">
        <f t="shared" ref="R162:Y162" si="79">SUM(R147:R161)</f>
        <v>0</v>
      </c>
      <c r="S162" s="611">
        <f t="shared" si="79"/>
        <v>1400570.3508261624</v>
      </c>
      <c r="T162" s="611">
        <f t="shared" si="79"/>
        <v>1400570.3508261624</v>
      </c>
      <c r="U162" s="611">
        <f t="shared" si="79"/>
        <v>3790495.6696879715</v>
      </c>
      <c r="V162" s="623">
        <f t="shared" si="64"/>
        <v>5312004.7514061583</v>
      </c>
      <c r="W162" s="510">
        <f>E162+G162+K162</f>
        <v>4553524.8108999282</v>
      </c>
      <c r="X162" s="624"/>
      <c r="Y162" s="611">
        <f t="shared" si="79"/>
        <v>0</v>
      </c>
      <c r="Z162" s="515">
        <v>3827495.6696879715</v>
      </c>
      <c r="AA162" s="625">
        <v>4358560.2994889198</v>
      </c>
    </row>
    <row r="163" spans="1:27">
      <c r="A163" s="236">
        <f t="shared" si="69"/>
        <v>367</v>
      </c>
      <c r="B163" s="298"/>
      <c r="C163" s="238"/>
      <c r="D163" s="238">
        <v>0</v>
      </c>
      <c r="E163" s="238"/>
      <c r="F163" s="238"/>
      <c r="G163" s="238"/>
      <c r="H163" s="300"/>
      <c r="I163" s="238"/>
      <c r="J163" s="238"/>
      <c r="K163" s="238"/>
      <c r="L163" s="239"/>
      <c r="M163" s="239"/>
      <c r="N163" s="239">
        <f t="shared" si="73"/>
        <v>0</v>
      </c>
      <c r="O163" s="312"/>
      <c r="P163" s="239">
        <f t="shared" si="70"/>
        <v>0</v>
      </c>
      <c r="Q163" s="422"/>
      <c r="R163" s="422"/>
      <c r="S163" s="422"/>
      <c r="T163" s="422"/>
      <c r="U163" s="422"/>
      <c r="V163" s="294">
        <f t="shared" si="64"/>
        <v>0</v>
      </c>
      <c r="W163" s="238"/>
      <c r="X163" s="423"/>
      <c r="Y163" s="422"/>
      <c r="Z163" s="346"/>
      <c r="AA163" s="297"/>
    </row>
    <row r="164" spans="1:27">
      <c r="A164" s="236">
        <f t="shared" si="69"/>
        <v>368</v>
      </c>
      <c r="B164" s="310" t="s">
        <v>642</v>
      </c>
      <c r="C164" s="238"/>
      <c r="D164" s="238">
        <v>0</v>
      </c>
      <c r="E164" s="238"/>
      <c r="F164" s="238"/>
      <c r="G164" s="238"/>
      <c r="H164" s="300"/>
      <c r="I164" s="238"/>
      <c r="J164" s="238"/>
      <c r="K164" s="238"/>
      <c r="L164" s="239"/>
      <c r="M164" s="239"/>
      <c r="N164" s="239">
        <f t="shared" si="73"/>
        <v>0</v>
      </c>
      <c r="O164" s="312"/>
      <c r="P164" s="239">
        <f t="shared" si="70"/>
        <v>0</v>
      </c>
      <c r="Q164" s="422"/>
      <c r="R164" s="422"/>
      <c r="S164" s="422"/>
      <c r="T164" s="422"/>
      <c r="U164" s="422"/>
      <c r="V164" s="294">
        <f t="shared" si="64"/>
        <v>0</v>
      </c>
      <c r="W164" s="238"/>
      <c r="X164" s="423"/>
      <c r="Y164" s="422"/>
      <c r="Z164" s="346"/>
      <c r="AA164" s="297"/>
    </row>
    <row r="165" spans="1:27">
      <c r="A165" s="236">
        <f t="shared" si="69"/>
        <v>369</v>
      </c>
      <c r="B165" s="298" t="s">
        <v>643</v>
      </c>
      <c r="C165" s="62">
        <v>104608</v>
      </c>
      <c r="D165" s="62">
        <v>104607</v>
      </c>
      <c r="E165" s="70"/>
      <c r="F165" s="62">
        <v>34869</v>
      </c>
      <c r="G165" s="62">
        <v>34000</v>
      </c>
      <c r="H165" s="63"/>
      <c r="I165" s="62"/>
      <c r="J165" s="62">
        <v>34869</v>
      </c>
      <c r="K165" s="62">
        <f>J165</f>
        <v>34869</v>
      </c>
      <c r="L165" s="56"/>
      <c r="M165" s="56">
        <v>34869</v>
      </c>
      <c r="N165" s="56">
        <f t="shared" si="73"/>
        <v>34869</v>
      </c>
      <c r="O165" s="332"/>
      <c r="P165" s="56">
        <f t="shared" si="70"/>
        <v>34869</v>
      </c>
      <c r="Q165" s="507">
        <v>33000</v>
      </c>
      <c r="R165" s="294"/>
      <c r="S165" s="507">
        <v>33000</v>
      </c>
      <c r="T165" s="66">
        <f>R165+S165</f>
        <v>33000</v>
      </c>
      <c r="U165" s="66">
        <f>Q165+T165</f>
        <v>66000</v>
      </c>
      <c r="V165" s="66">
        <f t="shared" si="64"/>
        <v>100869</v>
      </c>
      <c r="W165" s="62"/>
      <c r="X165" s="137"/>
      <c r="Y165" s="422"/>
      <c r="Z165" s="60">
        <v>71000</v>
      </c>
      <c r="AA165" s="68">
        <v>104607</v>
      </c>
    </row>
    <row r="166" spans="1:27">
      <c r="A166" s="236">
        <f t="shared" si="69"/>
        <v>370</v>
      </c>
      <c r="B166" s="298" t="s">
        <v>644</v>
      </c>
      <c r="C166" s="62">
        <v>40950</v>
      </c>
      <c r="D166" s="62">
        <v>84000</v>
      </c>
      <c r="E166" s="62"/>
      <c r="F166" s="62">
        <v>28000</v>
      </c>
      <c r="G166" s="62">
        <v>20000</v>
      </c>
      <c r="H166" s="63"/>
      <c r="I166" s="62"/>
      <c r="J166" s="62">
        <v>28000</v>
      </c>
      <c r="K166" s="62">
        <f>J166</f>
        <v>28000</v>
      </c>
      <c r="L166" s="56"/>
      <c r="M166" s="56">
        <v>28000</v>
      </c>
      <c r="N166" s="56">
        <f t="shared" si="73"/>
        <v>28000</v>
      </c>
      <c r="O166" s="332"/>
      <c r="P166" s="56">
        <f t="shared" si="70"/>
        <v>28000</v>
      </c>
      <c r="Q166" s="294">
        <v>29000</v>
      </c>
      <c r="R166" s="294"/>
      <c r="S166" s="294">
        <v>30000</v>
      </c>
      <c r="T166" s="66">
        <f>R166+S166</f>
        <v>30000</v>
      </c>
      <c r="U166" s="66">
        <f>Q166+T166</f>
        <v>59000</v>
      </c>
      <c r="V166" s="66">
        <f t="shared" si="64"/>
        <v>87000</v>
      </c>
      <c r="W166" s="62"/>
      <c r="X166" s="137"/>
      <c r="Y166" s="422"/>
      <c r="Z166" s="60">
        <v>59000</v>
      </c>
      <c r="AA166" s="68">
        <v>84000</v>
      </c>
    </row>
    <row r="167" spans="1:27" ht="22.05" customHeight="1">
      <c r="A167" s="236">
        <f t="shared" si="69"/>
        <v>371</v>
      </c>
      <c r="B167" s="298" t="s">
        <v>645</v>
      </c>
      <c r="C167" s="62">
        <v>134350</v>
      </c>
      <c r="D167" s="62">
        <v>135000</v>
      </c>
      <c r="E167" s="62">
        <v>99429</v>
      </c>
      <c r="F167" s="62">
        <v>45000</v>
      </c>
      <c r="G167" s="62">
        <v>15000</v>
      </c>
      <c r="H167" s="63" t="s">
        <v>177</v>
      </c>
      <c r="I167" s="62">
        <v>8308</v>
      </c>
      <c r="J167" s="62">
        <v>36692</v>
      </c>
      <c r="K167" s="62">
        <f>J167</f>
        <v>36692</v>
      </c>
      <c r="L167" s="56">
        <v>8308</v>
      </c>
      <c r="M167" s="56">
        <v>36692</v>
      </c>
      <c r="N167" s="56">
        <f t="shared" si="73"/>
        <v>45000</v>
      </c>
      <c r="O167" s="332"/>
      <c r="P167" s="56">
        <f t="shared" si="70"/>
        <v>45000</v>
      </c>
      <c r="Q167" s="294">
        <v>37000</v>
      </c>
      <c r="R167" s="294">
        <v>8500</v>
      </c>
      <c r="S167" s="294">
        <v>32000</v>
      </c>
      <c r="T167" s="66">
        <f>R167+S167</f>
        <v>40500</v>
      </c>
      <c r="U167" s="66">
        <f>Q167+T167</f>
        <v>77500</v>
      </c>
      <c r="V167" s="66">
        <f t="shared" si="64"/>
        <v>122500</v>
      </c>
      <c r="W167" s="62"/>
      <c r="X167" s="137"/>
      <c r="Y167" s="422"/>
      <c r="Z167" s="60">
        <v>77500</v>
      </c>
      <c r="AA167" s="68">
        <v>135000</v>
      </c>
    </row>
    <row r="168" spans="1:27">
      <c r="A168" s="236" t="s">
        <v>646</v>
      </c>
      <c r="B168" s="298" t="s">
        <v>497</v>
      </c>
      <c r="C168" s="62"/>
      <c r="D168" s="62"/>
      <c r="E168" s="62"/>
      <c r="F168" s="62"/>
      <c r="G168" s="62"/>
      <c r="H168" s="63"/>
      <c r="I168" s="62"/>
      <c r="J168" s="62"/>
      <c r="K168" s="62">
        <v>8308</v>
      </c>
      <c r="L168" s="56"/>
      <c r="M168" s="56"/>
      <c r="N168" s="56">
        <f t="shared" si="73"/>
        <v>0</v>
      </c>
      <c r="O168" s="332"/>
      <c r="P168" s="56">
        <f t="shared" si="70"/>
        <v>0</v>
      </c>
      <c r="Q168" s="294"/>
      <c r="R168" s="294"/>
      <c r="S168" s="294"/>
      <c r="T168" s="66">
        <f>R168+S168</f>
        <v>0</v>
      </c>
      <c r="U168" s="66">
        <f>Q168+T168</f>
        <v>0</v>
      </c>
      <c r="V168" s="66">
        <f t="shared" si="64"/>
        <v>0</v>
      </c>
      <c r="W168" s="62"/>
      <c r="X168" s="137"/>
      <c r="Y168" s="422"/>
      <c r="Z168" s="60">
        <v>0</v>
      </c>
      <c r="AA168" s="68"/>
    </row>
    <row r="169" spans="1:27" ht="18.399999999999999" customHeight="1">
      <c r="A169" s="236">
        <f>A167+1</f>
        <v>372</v>
      </c>
      <c r="B169" s="298" t="s">
        <v>419</v>
      </c>
      <c r="C169" s="400">
        <f>'[4]Salary Summary GC Adopted'!Y11</f>
        <v>2056086.1062745848</v>
      </c>
      <c r="D169" s="298">
        <v>801316.39196645492</v>
      </c>
      <c r="E169" s="298">
        <v>254377</v>
      </c>
      <c r="F169" s="298">
        <f>'[3]Salary Summary 19 for 2019-2021'!L38</f>
        <v>265822.77897356398</v>
      </c>
      <c r="G169" s="298">
        <f>F169</f>
        <v>265822.77897356398</v>
      </c>
      <c r="H169" s="437"/>
      <c r="I169" s="298"/>
      <c r="J169" s="298">
        <f>'[3]Salary Summary 20 for 2019-2021'!P38</f>
        <v>273221.23073301889</v>
      </c>
      <c r="K169" s="298">
        <f>J169</f>
        <v>273221.23073301889</v>
      </c>
      <c r="L169" s="356"/>
      <c r="M169" s="56">
        <f>'Salary Summary 21 for 2022-2024'!M39</f>
        <v>281801.93583153584</v>
      </c>
      <c r="N169" s="56">
        <f t="shared" si="73"/>
        <v>281801.93583153584</v>
      </c>
      <c r="O169" s="312"/>
      <c r="P169" s="56">
        <f t="shared" si="70"/>
        <v>281801.93583153584</v>
      </c>
      <c r="Q169" s="66">
        <f>'Salary Summary 21 for 2022-2024'!Q39</f>
        <v>290727.10222905921</v>
      </c>
      <c r="R169" s="66"/>
      <c r="S169" s="66">
        <f>'Salary Summary 21 for 2022-2024'!U39</f>
        <v>299883.67867823498</v>
      </c>
      <c r="T169" s="66">
        <f>R169+S169</f>
        <v>299883.67867823498</v>
      </c>
      <c r="U169" s="66">
        <f>Q169+T169</f>
        <v>590610.78090729425</v>
      </c>
      <c r="V169" s="66">
        <f t="shared" si="64"/>
        <v>872412.71673883009</v>
      </c>
      <c r="W169" s="62">
        <f>E169+G169+K169</f>
        <v>793421.00970658287</v>
      </c>
      <c r="X169" s="137"/>
      <c r="Y169" s="422"/>
      <c r="Z169" s="60">
        <v>590610.78090729425</v>
      </c>
      <c r="AA169" s="68">
        <v>799516.28606994031</v>
      </c>
    </row>
    <row r="170" spans="1:27" s="434" customFormat="1">
      <c r="A170" s="313">
        <f t="shared" si="69"/>
        <v>373</v>
      </c>
      <c r="B170" s="525" t="s">
        <v>647</v>
      </c>
      <c r="C170" s="510">
        <f>SUM(C165:C169)</f>
        <v>2335994.1062745848</v>
      </c>
      <c r="D170" s="510">
        <f t="shared" ref="D170:J170" si="80">SUM(D164:D169)</f>
        <v>1124923.3919664549</v>
      </c>
      <c r="E170" s="510">
        <f t="shared" si="80"/>
        <v>353806</v>
      </c>
      <c r="F170" s="510">
        <f t="shared" si="80"/>
        <v>373691.77897356398</v>
      </c>
      <c r="G170" s="510">
        <f t="shared" si="80"/>
        <v>334822.77897356398</v>
      </c>
      <c r="H170" s="510">
        <f t="shared" si="80"/>
        <v>0</v>
      </c>
      <c r="I170" s="510">
        <f t="shared" si="80"/>
        <v>8308</v>
      </c>
      <c r="J170" s="510">
        <f t="shared" si="80"/>
        <v>372782.23073301889</v>
      </c>
      <c r="K170" s="510">
        <f>SUM(K164:K169)</f>
        <v>381090.23073301889</v>
      </c>
      <c r="L170" s="511">
        <f t="shared" ref="L170:N170" si="81">SUM(L164:L169)</f>
        <v>8308</v>
      </c>
      <c r="M170" s="511">
        <f t="shared" si="81"/>
        <v>381362.93583153584</v>
      </c>
      <c r="N170" s="511">
        <f t="shared" si="81"/>
        <v>389670.93583153584</v>
      </c>
      <c r="O170" s="512"/>
      <c r="P170" s="511">
        <f t="shared" si="70"/>
        <v>389670.93583153584</v>
      </c>
      <c r="Q170" s="545">
        <f t="shared" ref="Q170:Y170" si="82">SUM(Q164:Q169)</f>
        <v>389727.10222905921</v>
      </c>
      <c r="R170" s="545">
        <f t="shared" si="82"/>
        <v>8500</v>
      </c>
      <c r="S170" s="545">
        <f t="shared" si="82"/>
        <v>394883.67867823498</v>
      </c>
      <c r="T170" s="545">
        <f t="shared" si="82"/>
        <v>403383.67867823498</v>
      </c>
      <c r="U170" s="545">
        <f t="shared" si="82"/>
        <v>793110.78090729425</v>
      </c>
      <c r="V170" s="545">
        <f t="shared" si="64"/>
        <v>1182781.7167388301</v>
      </c>
      <c r="W170" s="510">
        <f>E170+G170+K170</f>
        <v>1069719.0097065829</v>
      </c>
      <c r="X170" s="317"/>
      <c r="Y170" s="545">
        <f t="shared" si="82"/>
        <v>0</v>
      </c>
      <c r="Z170" s="515">
        <v>798110.78090729425</v>
      </c>
      <c r="AA170" s="612">
        <v>1123123.2860699403</v>
      </c>
    </row>
    <row r="171" spans="1:27">
      <c r="A171" s="236">
        <f t="shared" si="69"/>
        <v>374</v>
      </c>
      <c r="B171" s="298"/>
      <c r="C171" s="238"/>
      <c r="D171" s="238">
        <v>0</v>
      </c>
      <c r="E171" s="238"/>
      <c r="F171" s="238"/>
      <c r="G171" s="238"/>
      <c r="H171" s="300"/>
      <c r="I171" s="238"/>
      <c r="J171" s="238"/>
      <c r="K171" s="238"/>
      <c r="L171" s="239"/>
      <c r="M171" s="239"/>
      <c r="N171" s="239">
        <f t="shared" si="73"/>
        <v>0</v>
      </c>
      <c r="O171" s="312"/>
      <c r="P171" s="239">
        <f t="shared" si="70"/>
        <v>0</v>
      </c>
      <c r="Q171" s="422"/>
      <c r="R171" s="422"/>
      <c r="S171" s="422"/>
      <c r="T171" s="422"/>
      <c r="U171" s="422"/>
      <c r="V171" s="294">
        <f t="shared" si="64"/>
        <v>0</v>
      </c>
      <c r="W171" s="238"/>
      <c r="X171" s="423"/>
      <c r="Y171" s="422"/>
      <c r="Z171" s="346"/>
      <c r="AA171" s="297"/>
    </row>
    <row r="172" spans="1:27">
      <c r="A172" s="236">
        <f t="shared" si="69"/>
        <v>375</v>
      </c>
      <c r="B172" s="310" t="s">
        <v>648</v>
      </c>
      <c r="C172" s="238"/>
      <c r="D172" s="238">
        <v>0</v>
      </c>
      <c r="E172" s="238"/>
      <c r="F172" s="238"/>
      <c r="G172" s="238"/>
      <c r="H172" s="300"/>
      <c r="I172" s="238"/>
      <c r="J172" s="238"/>
      <c r="K172" s="238"/>
      <c r="L172" s="239"/>
      <c r="M172" s="239"/>
      <c r="N172" s="239">
        <f t="shared" si="73"/>
        <v>0</v>
      </c>
      <c r="O172" s="312"/>
      <c r="P172" s="239">
        <f t="shared" si="70"/>
        <v>0</v>
      </c>
      <c r="Q172" s="422"/>
      <c r="R172" s="422"/>
      <c r="S172" s="422"/>
      <c r="T172" s="422"/>
      <c r="U172" s="422"/>
      <c r="V172" s="294">
        <f t="shared" si="64"/>
        <v>0</v>
      </c>
      <c r="W172" s="238"/>
      <c r="X172" s="423"/>
      <c r="Y172" s="422"/>
      <c r="Z172" s="346"/>
      <c r="AA172" s="297"/>
    </row>
    <row r="173" spans="1:27" ht="13.5" customHeight="1">
      <c r="A173" s="626" t="s">
        <v>649</v>
      </c>
      <c r="B173" s="298" t="s">
        <v>650</v>
      </c>
      <c r="C173" s="238">
        <v>106000</v>
      </c>
      <c r="D173" s="238">
        <v>350000</v>
      </c>
      <c r="E173" s="62">
        <v>116667</v>
      </c>
      <c r="F173" s="62">
        <v>116667</v>
      </c>
      <c r="G173" s="62">
        <v>116667</v>
      </c>
      <c r="H173" s="62" t="s">
        <v>651</v>
      </c>
      <c r="I173" s="62"/>
      <c r="J173" s="62">
        <v>116667</v>
      </c>
      <c r="K173" s="62">
        <f>J173</f>
        <v>116667</v>
      </c>
      <c r="L173" s="56"/>
      <c r="M173" s="413">
        <v>300000</v>
      </c>
      <c r="N173" s="413">
        <f t="shared" si="73"/>
        <v>300000</v>
      </c>
      <c r="O173" s="312"/>
      <c r="P173" s="413">
        <f t="shared" si="70"/>
        <v>300000</v>
      </c>
      <c r="Q173" s="420">
        <v>300000</v>
      </c>
      <c r="R173" s="422"/>
      <c r="S173" s="420">
        <v>300000</v>
      </c>
      <c r="T173" s="66">
        <f>R173+S173</f>
        <v>300000</v>
      </c>
      <c r="U173" s="66">
        <f>Q173+T173</f>
        <v>600000</v>
      </c>
      <c r="V173" s="66">
        <f t="shared" si="64"/>
        <v>900000</v>
      </c>
      <c r="W173" s="70">
        <f>E173+G173+K173</f>
        <v>350001</v>
      </c>
      <c r="X173" s="137"/>
      <c r="Y173" s="422" t="s">
        <v>652</v>
      </c>
      <c r="Z173" s="414">
        <v>600000</v>
      </c>
      <c r="AA173" s="68"/>
    </row>
    <row r="174" spans="1:27">
      <c r="A174" s="236">
        <f>A172+1</f>
        <v>376</v>
      </c>
      <c r="B174" s="298" t="s">
        <v>653</v>
      </c>
      <c r="C174" s="238">
        <v>1064176</v>
      </c>
      <c r="D174" s="238">
        <v>959176</v>
      </c>
      <c r="E174" s="70">
        <v>319725.33333333331</v>
      </c>
      <c r="F174" s="62">
        <v>319725</v>
      </c>
      <c r="G174" s="62">
        <f>F174</f>
        <v>319725</v>
      </c>
      <c r="H174" s="63"/>
      <c r="I174" s="62"/>
      <c r="J174" s="62">
        <v>319725.33333333331</v>
      </c>
      <c r="K174" s="62">
        <f t="shared" ref="K174:K175" si="83">J174</f>
        <v>319725.33333333331</v>
      </c>
      <c r="L174" s="56"/>
      <c r="M174" s="413">
        <v>319725.33333333331</v>
      </c>
      <c r="N174" s="413">
        <f t="shared" si="73"/>
        <v>319725.33333333331</v>
      </c>
      <c r="O174" s="312"/>
      <c r="P174" s="413">
        <f t="shared" si="70"/>
        <v>319725.33333333331</v>
      </c>
      <c r="Q174" s="420">
        <v>319725.33333333331</v>
      </c>
      <c r="R174" s="422"/>
      <c r="S174" s="420">
        <v>319725.33333333331</v>
      </c>
      <c r="T174" s="66">
        <f>R174+S174</f>
        <v>319725.33333333331</v>
      </c>
      <c r="U174" s="66">
        <f>Q174+T174</f>
        <v>639450.66666666663</v>
      </c>
      <c r="V174" s="66">
        <f t="shared" si="64"/>
        <v>959176</v>
      </c>
      <c r="W174" s="70">
        <f>E174+G174+K174</f>
        <v>959175.66666666651</v>
      </c>
      <c r="X174" s="137"/>
      <c r="Y174" s="422"/>
      <c r="Z174" s="414">
        <v>639450.66666666663</v>
      </c>
      <c r="AA174" s="68">
        <v>959176</v>
      </c>
    </row>
    <row r="175" spans="1:27">
      <c r="A175" s="236">
        <f t="shared" si="69"/>
        <v>377</v>
      </c>
      <c r="B175" s="298" t="s">
        <v>654</v>
      </c>
      <c r="C175" s="400">
        <v>513513</v>
      </c>
      <c r="D175" s="238">
        <v>513513</v>
      </c>
      <c r="E175" s="62">
        <v>171171</v>
      </c>
      <c r="F175" s="62">
        <v>171171</v>
      </c>
      <c r="G175" s="62">
        <f>F175</f>
        <v>171171</v>
      </c>
      <c r="H175" s="63"/>
      <c r="I175" s="62"/>
      <c r="J175" s="62">
        <v>171171</v>
      </c>
      <c r="K175" s="62">
        <f t="shared" si="83"/>
        <v>171171</v>
      </c>
      <c r="L175" s="56"/>
      <c r="M175" s="413">
        <v>171171</v>
      </c>
      <c r="N175" s="413">
        <f t="shared" si="73"/>
        <v>171171</v>
      </c>
      <c r="O175" s="312"/>
      <c r="P175" s="413">
        <f t="shared" si="70"/>
        <v>171171</v>
      </c>
      <c r="Q175" s="420">
        <v>171171</v>
      </c>
      <c r="R175" s="422"/>
      <c r="S175" s="420">
        <v>171171</v>
      </c>
      <c r="T175" s="66">
        <f>R175+S175</f>
        <v>171171</v>
      </c>
      <c r="U175" s="66">
        <f>Q175+T175</f>
        <v>342342</v>
      </c>
      <c r="V175" s="66">
        <f t="shared" si="64"/>
        <v>513513</v>
      </c>
      <c r="W175" s="70">
        <f>E175+G175+K175</f>
        <v>513513</v>
      </c>
      <c r="X175" s="137"/>
      <c r="Y175" s="422"/>
      <c r="Z175" s="414">
        <v>342342</v>
      </c>
      <c r="AA175" s="68">
        <v>513513</v>
      </c>
    </row>
    <row r="176" spans="1:27">
      <c r="A176" s="627">
        <f t="shared" si="69"/>
        <v>378</v>
      </c>
      <c r="B176" s="628" t="s">
        <v>655</v>
      </c>
      <c r="C176" s="82">
        <f>SUM(C174:C175)</f>
        <v>1577689</v>
      </c>
      <c r="D176" s="82">
        <f t="shared" ref="D176:N176" si="84">SUM(D173:D175)</f>
        <v>1822689</v>
      </c>
      <c r="E176" s="82">
        <f t="shared" si="84"/>
        <v>607563.33333333326</v>
      </c>
      <c r="F176" s="82">
        <f t="shared" si="84"/>
        <v>607563</v>
      </c>
      <c r="G176" s="82">
        <f t="shared" si="84"/>
        <v>607563</v>
      </c>
      <c r="H176" s="82">
        <f t="shared" si="84"/>
        <v>0</v>
      </c>
      <c r="I176" s="82">
        <f t="shared" si="84"/>
        <v>0</v>
      </c>
      <c r="J176" s="82">
        <f t="shared" si="84"/>
        <v>607563.33333333326</v>
      </c>
      <c r="K176" s="82">
        <f t="shared" si="84"/>
        <v>607563.33333333326</v>
      </c>
      <c r="L176" s="84">
        <f t="shared" si="84"/>
        <v>0</v>
      </c>
      <c r="M176" s="84">
        <f t="shared" si="84"/>
        <v>790896.33333333326</v>
      </c>
      <c r="N176" s="84">
        <f t="shared" si="84"/>
        <v>790896.33333333326</v>
      </c>
      <c r="O176" s="629"/>
      <c r="P176" s="84">
        <f t="shared" si="70"/>
        <v>790896.33333333326</v>
      </c>
      <c r="Q176" s="86">
        <f t="shared" ref="Q176:Y176" si="85">SUM(Q173:Q175)</f>
        <v>790896.33333333326</v>
      </c>
      <c r="R176" s="86">
        <f t="shared" si="85"/>
        <v>0</v>
      </c>
      <c r="S176" s="86">
        <f t="shared" si="85"/>
        <v>790896.33333333326</v>
      </c>
      <c r="T176" s="86">
        <f t="shared" si="85"/>
        <v>790896.33333333326</v>
      </c>
      <c r="U176" s="86">
        <f t="shared" si="85"/>
        <v>1581792.6666666665</v>
      </c>
      <c r="V176" s="86">
        <f t="shared" si="64"/>
        <v>2372689</v>
      </c>
      <c r="W176" s="82">
        <f>E176+G176+K176</f>
        <v>1822689.6666666665</v>
      </c>
      <c r="X176" s="630"/>
      <c r="Y176" s="86">
        <f t="shared" si="85"/>
        <v>0</v>
      </c>
      <c r="Z176" s="631">
        <v>1581792.6666666665</v>
      </c>
      <c r="AA176" s="88">
        <v>1472689</v>
      </c>
    </row>
    <row r="177" spans="1:27">
      <c r="A177" s="236">
        <f t="shared" si="69"/>
        <v>379</v>
      </c>
      <c r="B177" s="298"/>
      <c r="C177" s="62"/>
      <c r="D177" s="62"/>
      <c r="E177" s="62"/>
      <c r="F177" s="62"/>
      <c r="G177" s="62"/>
      <c r="H177" s="63"/>
      <c r="I177" s="62"/>
      <c r="J177" s="62"/>
      <c r="K177" s="62"/>
      <c r="L177" s="56"/>
      <c r="M177" s="56"/>
      <c r="N177" s="56">
        <f t="shared" si="73"/>
        <v>0</v>
      </c>
      <c r="O177" s="332"/>
      <c r="P177" s="56">
        <f t="shared" si="70"/>
        <v>0</v>
      </c>
      <c r="Q177" s="66"/>
      <c r="R177" s="422"/>
      <c r="S177" s="66"/>
      <c r="T177" s="422"/>
      <c r="U177" s="422"/>
      <c r="V177" s="294">
        <f t="shared" si="64"/>
        <v>0</v>
      </c>
      <c r="W177" s="62"/>
      <c r="X177" s="423"/>
      <c r="Y177" s="422"/>
      <c r="Z177" s="60"/>
      <c r="AA177" s="297"/>
    </row>
    <row r="178" spans="1:27">
      <c r="A178" s="236">
        <f t="shared" si="69"/>
        <v>380</v>
      </c>
      <c r="B178" s="298" t="s">
        <v>656</v>
      </c>
      <c r="C178" s="238">
        <v>544000</v>
      </c>
      <c r="D178" s="62">
        <v>694000</v>
      </c>
      <c r="E178" s="70">
        <v>231333</v>
      </c>
      <c r="F178" s="70">
        <v>231333</v>
      </c>
      <c r="G178" s="62">
        <f>F178</f>
        <v>231333</v>
      </c>
      <c r="H178" s="63"/>
      <c r="I178" s="62"/>
      <c r="J178" s="62">
        <v>231333.33333333334</v>
      </c>
      <c r="K178" s="62">
        <f t="shared" ref="K178:K179" si="86">J178</f>
        <v>231333.33333333334</v>
      </c>
      <c r="L178" s="56"/>
      <c r="M178" s="413">
        <v>231333.33333333334</v>
      </c>
      <c r="N178" s="413">
        <f t="shared" si="73"/>
        <v>231333.33333333334</v>
      </c>
      <c r="O178" s="312"/>
      <c r="P178" s="413">
        <f t="shared" si="70"/>
        <v>231333.33333333334</v>
      </c>
      <c r="Q178" s="420">
        <v>231333.33333333334</v>
      </c>
      <c r="R178" s="422"/>
      <c r="S178" s="420">
        <v>231333.33333333334</v>
      </c>
      <c r="T178" s="66">
        <f>R178+S178</f>
        <v>231333.33333333334</v>
      </c>
      <c r="U178" s="66">
        <f>Q178+T178</f>
        <v>462666.66666666669</v>
      </c>
      <c r="V178" s="66">
        <f t="shared" si="64"/>
        <v>694000</v>
      </c>
      <c r="W178" s="70">
        <f t="shared" ref="W178:W186" si="87">E178+G178+K178</f>
        <v>693999.33333333337</v>
      </c>
      <c r="X178" s="137"/>
      <c r="Y178" s="422"/>
      <c r="Z178" s="414">
        <v>462666.66666666669</v>
      </c>
      <c r="AA178" s="68">
        <v>694000</v>
      </c>
    </row>
    <row r="179" spans="1:27">
      <c r="A179" s="236">
        <f t="shared" si="69"/>
        <v>381</v>
      </c>
      <c r="B179" s="298" t="s">
        <v>657</v>
      </c>
      <c r="C179" s="238">
        <v>2100000</v>
      </c>
      <c r="D179" s="62">
        <v>2290650</v>
      </c>
      <c r="E179" s="62">
        <v>763550</v>
      </c>
      <c r="F179" s="62">
        <v>763550</v>
      </c>
      <c r="G179" s="62">
        <f>F179</f>
        <v>763550</v>
      </c>
      <c r="H179" s="63"/>
      <c r="I179" s="62"/>
      <c r="J179" s="62">
        <v>763550</v>
      </c>
      <c r="K179" s="62">
        <f t="shared" si="86"/>
        <v>763550</v>
      </c>
      <c r="L179" s="56"/>
      <c r="M179" s="413">
        <v>763550</v>
      </c>
      <c r="N179" s="413">
        <f t="shared" si="73"/>
        <v>763550</v>
      </c>
      <c r="O179" s="312"/>
      <c r="P179" s="413">
        <f t="shared" si="70"/>
        <v>763550</v>
      </c>
      <c r="Q179" s="420">
        <v>763550</v>
      </c>
      <c r="R179" s="422"/>
      <c r="S179" s="420">
        <v>763550</v>
      </c>
      <c r="T179" s="66">
        <f>R179+S179</f>
        <v>763550</v>
      </c>
      <c r="U179" s="66">
        <f>Q179+T179</f>
        <v>1527100</v>
      </c>
      <c r="V179" s="66">
        <f t="shared" si="64"/>
        <v>2290650</v>
      </c>
      <c r="W179" s="70">
        <f t="shared" si="87"/>
        <v>2290650</v>
      </c>
      <c r="X179" s="137"/>
      <c r="Y179" s="422"/>
      <c r="Z179" s="414">
        <v>1527100</v>
      </c>
      <c r="AA179" s="68">
        <v>2290650</v>
      </c>
    </row>
    <row r="180" spans="1:27">
      <c r="A180" s="627">
        <f t="shared" si="69"/>
        <v>382</v>
      </c>
      <c r="B180" s="628" t="s">
        <v>658</v>
      </c>
      <c r="C180" s="82">
        <f>SUM(C178:C179)</f>
        <v>2644000</v>
      </c>
      <c r="D180" s="82">
        <v>2984650</v>
      </c>
      <c r="E180" s="82">
        <f t="shared" ref="E180:I180" si="88">SUM(E178:E179)</f>
        <v>994883</v>
      </c>
      <c r="F180" s="82">
        <f t="shared" si="88"/>
        <v>994883</v>
      </c>
      <c r="G180" s="82">
        <f t="shared" si="88"/>
        <v>994883</v>
      </c>
      <c r="H180" s="83"/>
      <c r="I180" s="82">
        <f t="shared" si="88"/>
        <v>0</v>
      </c>
      <c r="J180" s="82">
        <f>SUM(J178:J179)</f>
        <v>994883.33333333337</v>
      </c>
      <c r="K180" s="82">
        <f>SUM(K178:K179)</f>
        <v>994883.33333333337</v>
      </c>
      <c r="L180" s="84">
        <f t="shared" ref="L180:N180" si="89">SUM(L178:L179)</f>
        <v>0</v>
      </c>
      <c r="M180" s="84">
        <f t="shared" si="89"/>
        <v>994883.33333333337</v>
      </c>
      <c r="N180" s="84">
        <f t="shared" si="89"/>
        <v>994883.33333333337</v>
      </c>
      <c r="O180" s="332"/>
      <c r="P180" s="84">
        <f t="shared" si="70"/>
        <v>994883.33333333337</v>
      </c>
      <c r="Q180" s="86">
        <f t="shared" ref="Q180:Y180" si="90">SUM(Q178:Q179)</f>
        <v>994883.33333333337</v>
      </c>
      <c r="R180" s="632">
        <f t="shared" si="90"/>
        <v>0</v>
      </c>
      <c r="S180" s="86">
        <f t="shared" si="90"/>
        <v>994883.33333333337</v>
      </c>
      <c r="T180" s="632">
        <f t="shared" si="90"/>
        <v>994883.33333333337</v>
      </c>
      <c r="U180" s="632">
        <f t="shared" si="90"/>
        <v>1989766.6666666667</v>
      </c>
      <c r="V180" s="633">
        <f t="shared" si="64"/>
        <v>2984650</v>
      </c>
      <c r="W180" s="82">
        <f t="shared" si="87"/>
        <v>2984649.3333333335</v>
      </c>
      <c r="X180" s="634"/>
      <c r="Y180" s="632">
        <f t="shared" si="90"/>
        <v>0</v>
      </c>
      <c r="Z180" s="631">
        <v>1989766.6666666667</v>
      </c>
      <c r="AA180" s="635">
        <v>2984650</v>
      </c>
    </row>
    <row r="181" spans="1:27">
      <c r="A181" s="236">
        <f t="shared" si="69"/>
        <v>383</v>
      </c>
      <c r="B181" s="298"/>
      <c r="C181" s="62"/>
      <c r="D181" s="62"/>
      <c r="E181" s="62"/>
      <c r="F181" s="62"/>
      <c r="G181" s="62"/>
      <c r="H181" s="63"/>
      <c r="I181" s="62"/>
      <c r="J181" s="62"/>
      <c r="K181" s="62"/>
      <c r="L181" s="56"/>
      <c r="M181" s="413"/>
      <c r="N181" s="413">
        <f t="shared" si="73"/>
        <v>0</v>
      </c>
      <c r="O181" s="312"/>
      <c r="P181" s="413">
        <f t="shared" si="70"/>
        <v>0</v>
      </c>
      <c r="Q181" s="420"/>
      <c r="R181" s="422"/>
      <c r="S181" s="420"/>
      <c r="T181" s="422"/>
      <c r="U181" s="422"/>
      <c r="V181" s="294">
        <f t="shared" si="64"/>
        <v>0</v>
      </c>
      <c r="W181" s="70">
        <f t="shared" si="87"/>
        <v>0</v>
      </c>
      <c r="X181" s="423"/>
      <c r="Y181" s="422"/>
      <c r="Z181" s="414"/>
      <c r="AA181" s="297"/>
    </row>
    <row r="182" spans="1:27">
      <c r="A182" s="236">
        <f t="shared" si="69"/>
        <v>384</v>
      </c>
      <c r="B182" s="298" t="s">
        <v>659</v>
      </c>
      <c r="C182" s="238">
        <v>1300000</v>
      </c>
      <c r="D182" s="62">
        <v>1300000</v>
      </c>
      <c r="E182" s="62">
        <v>433334</v>
      </c>
      <c r="F182" s="62">
        <v>433334</v>
      </c>
      <c r="G182" s="62">
        <f>F182</f>
        <v>433334</v>
      </c>
      <c r="H182" s="63"/>
      <c r="I182" s="62"/>
      <c r="J182" s="62">
        <v>433333</v>
      </c>
      <c r="K182" s="62">
        <f t="shared" ref="K182:K185" si="91">J182</f>
        <v>433333</v>
      </c>
      <c r="L182" s="56"/>
      <c r="M182" s="413">
        <v>433333</v>
      </c>
      <c r="N182" s="413">
        <f t="shared" si="73"/>
        <v>433333</v>
      </c>
      <c r="O182" s="312"/>
      <c r="P182" s="413">
        <f t="shared" si="70"/>
        <v>433333</v>
      </c>
      <c r="Q182" s="420">
        <v>433333</v>
      </c>
      <c r="R182" s="422"/>
      <c r="S182" s="420">
        <v>433333</v>
      </c>
      <c r="T182" s="66">
        <f>R182+S182</f>
        <v>433333</v>
      </c>
      <c r="U182" s="66">
        <f>Q182+T182</f>
        <v>866666</v>
      </c>
      <c r="V182" s="66">
        <f t="shared" si="64"/>
        <v>1299999</v>
      </c>
      <c r="W182" s="70">
        <f t="shared" si="87"/>
        <v>1300001</v>
      </c>
      <c r="X182" s="137"/>
      <c r="Y182" s="422"/>
      <c r="Z182" s="414">
        <v>866666</v>
      </c>
      <c r="AA182" s="68">
        <v>1300000</v>
      </c>
    </row>
    <row r="183" spans="1:27">
      <c r="A183" s="236">
        <f t="shared" si="69"/>
        <v>385</v>
      </c>
      <c r="B183" s="298" t="s">
        <v>660</v>
      </c>
      <c r="C183" s="238">
        <v>1000000</v>
      </c>
      <c r="D183" s="62">
        <v>1000000</v>
      </c>
      <c r="E183" s="62">
        <v>418333</v>
      </c>
      <c r="F183" s="62">
        <v>418333</v>
      </c>
      <c r="G183" s="62">
        <f>F183</f>
        <v>418333</v>
      </c>
      <c r="H183" s="63"/>
      <c r="I183" s="62"/>
      <c r="J183" s="62">
        <v>290833.33333333331</v>
      </c>
      <c r="K183" s="62">
        <f t="shared" si="91"/>
        <v>290833.33333333331</v>
      </c>
      <c r="L183" s="56"/>
      <c r="M183" s="413">
        <v>290833.33333333331</v>
      </c>
      <c r="N183" s="413">
        <f t="shared" si="73"/>
        <v>290833.33333333331</v>
      </c>
      <c r="O183" s="312"/>
      <c r="P183" s="413">
        <f t="shared" si="70"/>
        <v>290833.33333333331</v>
      </c>
      <c r="Q183" s="420">
        <v>333333</v>
      </c>
      <c r="R183" s="422"/>
      <c r="S183" s="420">
        <v>333333</v>
      </c>
      <c r="T183" s="66">
        <f>R183+S183</f>
        <v>333333</v>
      </c>
      <c r="U183" s="66">
        <f>Q183+T183</f>
        <v>666666</v>
      </c>
      <c r="V183" s="66">
        <f t="shared" si="64"/>
        <v>957499.33333333326</v>
      </c>
      <c r="W183" s="70">
        <f t="shared" si="87"/>
        <v>1127499.3333333333</v>
      </c>
      <c r="X183" s="137"/>
      <c r="Y183" s="422"/>
      <c r="Z183" s="414">
        <v>666666</v>
      </c>
      <c r="AA183" s="68">
        <v>1000000</v>
      </c>
    </row>
    <row r="184" spans="1:27">
      <c r="A184" s="236">
        <f t="shared" si="69"/>
        <v>386</v>
      </c>
      <c r="B184" s="298" t="s">
        <v>661</v>
      </c>
      <c r="C184" s="238">
        <v>150000</v>
      </c>
      <c r="D184" s="62">
        <v>150000</v>
      </c>
      <c r="E184" s="62">
        <v>50001</v>
      </c>
      <c r="F184" s="62">
        <v>50001</v>
      </c>
      <c r="G184" s="62">
        <f>F184</f>
        <v>50001</v>
      </c>
      <c r="H184" s="63"/>
      <c r="I184" s="62"/>
      <c r="J184" s="62">
        <v>50000</v>
      </c>
      <c r="K184" s="62">
        <f t="shared" si="91"/>
        <v>50000</v>
      </c>
      <c r="L184" s="56"/>
      <c r="M184" s="413">
        <v>50000</v>
      </c>
      <c r="N184" s="413">
        <f t="shared" si="73"/>
        <v>50000</v>
      </c>
      <c r="O184" s="312"/>
      <c r="P184" s="413">
        <f t="shared" si="70"/>
        <v>50000</v>
      </c>
      <c r="Q184" s="420">
        <v>50000</v>
      </c>
      <c r="R184" s="422"/>
      <c r="S184" s="420">
        <v>50000</v>
      </c>
      <c r="T184" s="66">
        <f>R184+S184</f>
        <v>50000</v>
      </c>
      <c r="U184" s="66">
        <f>Q184+T184</f>
        <v>100000</v>
      </c>
      <c r="V184" s="66">
        <f t="shared" si="64"/>
        <v>150000</v>
      </c>
      <c r="W184" s="70">
        <f t="shared" si="87"/>
        <v>150002</v>
      </c>
      <c r="X184" s="137"/>
      <c r="Y184" s="422"/>
      <c r="Z184" s="414">
        <v>100000</v>
      </c>
      <c r="AA184" s="68">
        <v>150000</v>
      </c>
    </row>
    <row r="185" spans="1:27">
      <c r="A185" s="236">
        <f t="shared" si="69"/>
        <v>387</v>
      </c>
      <c r="B185" s="298" t="s">
        <v>662</v>
      </c>
      <c r="C185" s="400">
        <v>204750</v>
      </c>
      <c r="D185" s="62">
        <v>204750</v>
      </c>
      <c r="E185" s="62">
        <v>68250</v>
      </c>
      <c r="F185" s="62">
        <v>68250</v>
      </c>
      <c r="G185" s="62">
        <f>F185</f>
        <v>68250</v>
      </c>
      <c r="H185" s="63"/>
      <c r="I185" s="62"/>
      <c r="J185" s="62">
        <v>68250</v>
      </c>
      <c r="K185" s="62">
        <f t="shared" si="91"/>
        <v>68250</v>
      </c>
      <c r="L185" s="56"/>
      <c r="M185" s="413">
        <v>68250</v>
      </c>
      <c r="N185" s="413">
        <f t="shared" si="73"/>
        <v>68250</v>
      </c>
      <c r="O185" s="312"/>
      <c r="P185" s="413">
        <f t="shared" si="70"/>
        <v>68250</v>
      </c>
      <c r="Q185" s="420">
        <v>68250</v>
      </c>
      <c r="R185" s="422"/>
      <c r="S185" s="420">
        <v>68250</v>
      </c>
      <c r="T185" s="66">
        <f>R185+S185</f>
        <v>68250</v>
      </c>
      <c r="U185" s="66">
        <f>Q185+T185</f>
        <v>136500</v>
      </c>
      <c r="V185" s="66">
        <f t="shared" si="64"/>
        <v>204750</v>
      </c>
      <c r="W185" s="70">
        <f t="shared" si="87"/>
        <v>204750</v>
      </c>
      <c r="X185" s="137"/>
      <c r="Y185" s="422"/>
      <c r="Z185" s="414">
        <v>136500</v>
      </c>
      <c r="AA185" s="68">
        <v>204750</v>
      </c>
    </row>
    <row r="186" spans="1:27">
      <c r="A186" s="627">
        <f t="shared" si="69"/>
        <v>388</v>
      </c>
      <c r="B186" s="628" t="s">
        <v>663</v>
      </c>
      <c r="C186" s="636">
        <f>SUM(C182:C185)</f>
        <v>2654750</v>
      </c>
      <c r="D186" s="636">
        <v>2654750</v>
      </c>
      <c r="E186" s="636">
        <f t="shared" ref="E186:G186" si="92">SUM(E182:E185)</f>
        <v>969918</v>
      </c>
      <c r="F186" s="636">
        <f t="shared" si="92"/>
        <v>969918</v>
      </c>
      <c r="G186" s="636">
        <f t="shared" si="92"/>
        <v>969918</v>
      </c>
      <c r="H186" s="360"/>
      <c r="I186" s="636">
        <f t="shared" ref="I186:N186" si="93">SUM(I182:I185)</f>
        <v>0</v>
      </c>
      <c r="J186" s="636">
        <f t="shared" si="93"/>
        <v>842416.33333333326</v>
      </c>
      <c r="K186" s="636">
        <f t="shared" si="93"/>
        <v>842416.33333333326</v>
      </c>
      <c r="L186" s="637">
        <f t="shared" si="93"/>
        <v>0</v>
      </c>
      <c r="M186" s="637">
        <f t="shared" si="93"/>
        <v>842416.33333333326</v>
      </c>
      <c r="N186" s="637">
        <f t="shared" si="93"/>
        <v>842416.33333333326</v>
      </c>
      <c r="O186" s="638"/>
      <c r="P186" s="637">
        <f t="shared" si="70"/>
        <v>842416.33333333326</v>
      </c>
      <c r="Q186" s="639">
        <f t="shared" ref="Q186:U186" si="94">SUM(Q182:Q185)</f>
        <v>884916</v>
      </c>
      <c r="R186" s="639">
        <f t="shared" si="94"/>
        <v>0</v>
      </c>
      <c r="S186" s="639">
        <f t="shared" si="94"/>
        <v>884916</v>
      </c>
      <c r="T186" s="639">
        <f t="shared" si="94"/>
        <v>884916</v>
      </c>
      <c r="U186" s="639">
        <f t="shared" si="94"/>
        <v>1769832</v>
      </c>
      <c r="V186" s="639">
        <f t="shared" si="64"/>
        <v>2612248.333333333</v>
      </c>
      <c r="W186" s="636">
        <f t="shared" si="87"/>
        <v>2782252.333333333</v>
      </c>
      <c r="X186" s="640"/>
      <c r="Y186" s="639"/>
      <c r="Z186" s="641">
        <v>1769832</v>
      </c>
      <c r="AA186" s="642">
        <v>2654750</v>
      </c>
    </row>
    <row r="187" spans="1:27">
      <c r="A187" s="236">
        <f t="shared" si="69"/>
        <v>389</v>
      </c>
      <c r="B187" s="298"/>
      <c r="C187" s="238"/>
      <c r="D187" s="238"/>
      <c r="E187" s="238"/>
      <c r="F187" s="238"/>
      <c r="G187" s="238"/>
      <c r="H187" s="300"/>
      <c r="I187" s="238"/>
      <c r="J187" s="238"/>
      <c r="K187" s="238"/>
      <c r="L187" s="239"/>
      <c r="M187" s="239"/>
      <c r="N187" s="239">
        <f t="shared" si="73"/>
        <v>0</v>
      </c>
      <c r="O187" s="312"/>
      <c r="P187" s="239">
        <f t="shared" si="70"/>
        <v>0</v>
      </c>
      <c r="Q187" s="422"/>
      <c r="R187" s="422"/>
      <c r="S187" s="422"/>
      <c r="T187" s="422"/>
      <c r="U187" s="422"/>
      <c r="V187" s="294">
        <f t="shared" si="64"/>
        <v>0</v>
      </c>
      <c r="W187" s="238"/>
      <c r="X187" s="423"/>
      <c r="Y187" s="422"/>
      <c r="Z187" s="346"/>
      <c r="AA187" s="297"/>
    </row>
    <row r="188" spans="1:27">
      <c r="A188" s="236">
        <f t="shared" si="69"/>
        <v>390</v>
      </c>
      <c r="B188" s="298" t="s">
        <v>664</v>
      </c>
      <c r="C188" s="62">
        <v>0</v>
      </c>
      <c r="D188" s="62"/>
      <c r="E188" s="62"/>
      <c r="F188" s="62"/>
      <c r="G188" s="62"/>
      <c r="H188" s="63"/>
      <c r="I188" s="62"/>
      <c r="J188" s="62"/>
      <c r="K188" s="62"/>
      <c r="L188" s="56"/>
      <c r="M188" s="56"/>
      <c r="N188" s="56">
        <f t="shared" si="73"/>
        <v>0</v>
      </c>
      <c r="O188" s="332"/>
      <c r="P188" s="56">
        <f t="shared" si="70"/>
        <v>0</v>
      </c>
      <c r="Q188" s="422"/>
      <c r="R188" s="422"/>
      <c r="S188" s="294"/>
      <c r="T188" s="66">
        <f t="shared" ref="T188:T197" si="95">R188+S188</f>
        <v>0</v>
      </c>
      <c r="U188" s="66">
        <f t="shared" ref="U188:U197" si="96">Q188+T188</f>
        <v>0</v>
      </c>
      <c r="V188" s="66">
        <f t="shared" si="64"/>
        <v>0</v>
      </c>
      <c r="W188" s="70">
        <f t="shared" ref="W188:W198" si="97">E188+G188+K188</f>
        <v>0</v>
      </c>
      <c r="X188" s="137"/>
      <c r="Y188" s="422"/>
      <c r="Z188" s="60">
        <v>0</v>
      </c>
      <c r="AA188" s="68"/>
    </row>
    <row r="189" spans="1:27" ht="28.5">
      <c r="A189" s="562">
        <f t="shared" si="69"/>
        <v>391</v>
      </c>
      <c r="B189" s="437" t="s">
        <v>665</v>
      </c>
      <c r="C189" s="62">
        <v>550000</v>
      </c>
      <c r="D189" s="62"/>
      <c r="E189" s="70"/>
      <c r="F189" s="62"/>
      <c r="G189" s="62"/>
      <c r="H189" s="63"/>
      <c r="I189" s="62"/>
      <c r="J189" s="62"/>
      <c r="K189" s="62"/>
      <c r="L189" s="56"/>
      <c r="M189" s="56">
        <v>150000</v>
      </c>
      <c r="N189" s="56">
        <f t="shared" si="73"/>
        <v>150000</v>
      </c>
      <c r="O189" s="332" t="s">
        <v>666</v>
      </c>
      <c r="P189" s="56">
        <f t="shared" si="70"/>
        <v>150000</v>
      </c>
      <c r="Q189" s="422"/>
      <c r="R189" s="422"/>
      <c r="S189" s="294"/>
      <c r="T189" s="66">
        <f t="shared" si="95"/>
        <v>0</v>
      </c>
      <c r="U189" s="66">
        <f t="shared" si="96"/>
        <v>0</v>
      </c>
      <c r="V189" s="66">
        <f t="shared" si="64"/>
        <v>150000</v>
      </c>
      <c r="W189" s="70">
        <f t="shared" si="97"/>
        <v>0</v>
      </c>
      <c r="X189" s="137"/>
      <c r="Y189" s="422" t="s">
        <v>666</v>
      </c>
      <c r="Z189" s="60">
        <v>0</v>
      </c>
      <c r="AA189" s="68"/>
    </row>
    <row r="190" spans="1:27">
      <c r="A190" s="236">
        <f t="shared" si="69"/>
        <v>392</v>
      </c>
      <c r="B190" s="298"/>
      <c r="C190" s="238"/>
      <c r="D190" s="238"/>
      <c r="E190" s="238"/>
      <c r="F190" s="238"/>
      <c r="G190" s="238"/>
      <c r="H190" s="300"/>
      <c r="I190" s="238"/>
      <c r="J190" s="238"/>
      <c r="K190" s="238"/>
      <c r="L190" s="239"/>
      <c r="M190" s="239"/>
      <c r="N190" s="239">
        <f t="shared" si="73"/>
        <v>0</v>
      </c>
      <c r="O190" s="312"/>
      <c r="P190" s="239">
        <f t="shared" si="70"/>
        <v>0</v>
      </c>
      <c r="Q190" s="422"/>
      <c r="R190" s="422"/>
      <c r="S190" s="294"/>
      <c r="T190" s="66">
        <f t="shared" si="95"/>
        <v>0</v>
      </c>
      <c r="U190" s="66">
        <f t="shared" si="96"/>
        <v>0</v>
      </c>
      <c r="V190" s="66">
        <f t="shared" si="64"/>
        <v>0</v>
      </c>
      <c r="W190" s="70">
        <f t="shared" si="97"/>
        <v>0</v>
      </c>
      <c r="X190" s="137"/>
      <c r="Y190" s="422"/>
      <c r="Z190" s="346">
        <v>0</v>
      </c>
      <c r="AA190" s="68"/>
    </row>
    <row r="191" spans="1:27">
      <c r="A191" s="236">
        <f t="shared" si="69"/>
        <v>393</v>
      </c>
      <c r="B191" s="298" t="s">
        <v>667</v>
      </c>
      <c r="C191" s="238">
        <v>2993830</v>
      </c>
      <c r="D191" s="62">
        <v>64000</v>
      </c>
      <c r="E191" s="238">
        <v>2026</v>
      </c>
      <c r="F191" s="238">
        <v>21333.333333333332</v>
      </c>
      <c r="G191" s="238">
        <v>21333.333333333332</v>
      </c>
      <c r="H191" s="300"/>
      <c r="I191" s="238"/>
      <c r="J191" s="238">
        <v>21333.333333333332</v>
      </c>
      <c r="K191" s="62">
        <f t="shared" ref="K191:K197" si="98">J191</f>
        <v>21333.333333333332</v>
      </c>
      <c r="L191" s="239"/>
      <c r="M191" s="413">
        <v>20000</v>
      </c>
      <c r="N191" s="413">
        <f t="shared" si="73"/>
        <v>20000</v>
      </c>
      <c r="O191" s="312"/>
      <c r="P191" s="413">
        <f t="shared" si="70"/>
        <v>20000</v>
      </c>
      <c r="Q191" s="422"/>
      <c r="R191" s="422"/>
      <c r="S191" s="294"/>
      <c r="T191" s="66">
        <f t="shared" si="95"/>
        <v>0</v>
      </c>
      <c r="U191" s="66">
        <f t="shared" si="96"/>
        <v>0</v>
      </c>
      <c r="V191" s="66">
        <f t="shared" si="64"/>
        <v>20000</v>
      </c>
      <c r="W191" s="70">
        <f t="shared" si="97"/>
        <v>44692.666666666664</v>
      </c>
      <c r="X191" s="137"/>
      <c r="Y191" s="422"/>
      <c r="Z191" s="414">
        <v>0</v>
      </c>
      <c r="AA191" s="68">
        <v>64000</v>
      </c>
    </row>
    <row r="192" spans="1:27">
      <c r="A192" s="236">
        <f t="shared" si="69"/>
        <v>394</v>
      </c>
      <c r="B192" s="298" t="s">
        <v>668</v>
      </c>
      <c r="C192" s="238"/>
      <c r="D192" s="62">
        <v>382200</v>
      </c>
      <c r="E192" s="238">
        <v>127400</v>
      </c>
      <c r="F192" s="238">
        <v>127400</v>
      </c>
      <c r="G192" s="238">
        <v>127400</v>
      </c>
      <c r="H192" s="300"/>
      <c r="I192" s="238"/>
      <c r="J192" s="238">
        <v>127400</v>
      </c>
      <c r="K192" s="62">
        <f t="shared" si="98"/>
        <v>127400</v>
      </c>
      <c r="L192" s="239"/>
      <c r="M192" s="413">
        <v>150000</v>
      </c>
      <c r="N192" s="413">
        <f t="shared" si="73"/>
        <v>150000</v>
      </c>
      <c r="O192" s="312"/>
      <c r="P192" s="413">
        <f t="shared" si="70"/>
        <v>150000</v>
      </c>
      <c r="Q192" s="294">
        <v>135000</v>
      </c>
      <c r="R192" s="422"/>
      <c r="S192" s="294">
        <v>127400</v>
      </c>
      <c r="T192" s="66">
        <f t="shared" si="95"/>
        <v>127400</v>
      </c>
      <c r="U192" s="66">
        <f t="shared" si="96"/>
        <v>262400</v>
      </c>
      <c r="V192" s="66">
        <f t="shared" si="64"/>
        <v>412400</v>
      </c>
      <c r="W192" s="70">
        <f t="shared" si="97"/>
        <v>382200</v>
      </c>
      <c r="X192" s="137"/>
      <c r="Y192" s="422"/>
      <c r="Z192" s="414">
        <v>262400</v>
      </c>
      <c r="AA192" s="68">
        <v>382200</v>
      </c>
    </row>
    <row r="193" spans="1:27">
      <c r="A193" s="236">
        <f t="shared" si="69"/>
        <v>395</v>
      </c>
      <c r="B193" s="298" t="s">
        <v>669</v>
      </c>
      <c r="C193" s="238"/>
      <c r="D193" s="62">
        <v>100000</v>
      </c>
      <c r="E193" s="238">
        <v>33333.333333333336</v>
      </c>
      <c r="F193" s="238">
        <v>33333.333333333336</v>
      </c>
      <c r="G193" s="238">
        <v>33333.333333333336</v>
      </c>
      <c r="H193" s="300"/>
      <c r="I193" s="238"/>
      <c r="J193" s="238">
        <v>33333.333333333336</v>
      </c>
      <c r="K193" s="62">
        <f t="shared" si="98"/>
        <v>33333.333333333336</v>
      </c>
      <c r="L193" s="239"/>
      <c r="M193" s="413">
        <v>100000</v>
      </c>
      <c r="N193" s="413">
        <f t="shared" si="73"/>
        <v>100000</v>
      </c>
      <c r="O193" s="312"/>
      <c r="P193" s="413">
        <f t="shared" si="70"/>
        <v>100000</v>
      </c>
      <c r="Q193" s="294">
        <v>75000</v>
      </c>
      <c r="R193" s="422"/>
      <c r="S193" s="294">
        <v>50000</v>
      </c>
      <c r="T193" s="66">
        <f t="shared" si="95"/>
        <v>50000</v>
      </c>
      <c r="U193" s="66">
        <f t="shared" si="96"/>
        <v>125000</v>
      </c>
      <c r="V193" s="66">
        <f t="shared" si="64"/>
        <v>225000</v>
      </c>
      <c r="W193" s="70">
        <f t="shared" si="97"/>
        <v>100000</v>
      </c>
      <c r="X193" s="137"/>
      <c r="Y193" s="423" t="s">
        <v>670</v>
      </c>
      <c r="Z193" s="414">
        <v>125000</v>
      </c>
      <c r="AA193" s="68">
        <v>100000</v>
      </c>
    </row>
    <row r="194" spans="1:27" ht="16.899999999999999" customHeight="1">
      <c r="A194" s="236">
        <f t="shared" si="69"/>
        <v>396</v>
      </c>
      <c r="B194" s="298" t="s">
        <v>671</v>
      </c>
      <c r="C194" s="238"/>
      <c r="D194" s="62">
        <v>1004790</v>
      </c>
      <c r="E194" s="238">
        <v>334930</v>
      </c>
      <c r="F194" s="238">
        <v>334930</v>
      </c>
      <c r="G194" s="238">
        <v>334930</v>
      </c>
      <c r="H194" s="300"/>
      <c r="I194" s="238"/>
      <c r="J194" s="238">
        <v>334930</v>
      </c>
      <c r="K194" s="62">
        <f t="shared" si="98"/>
        <v>334930</v>
      </c>
      <c r="L194" s="239"/>
      <c r="M194" s="413">
        <v>170000</v>
      </c>
      <c r="N194" s="413">
        <f t="shared" si="73"/>
        <v>170000</v>
      </c>
      <c r="O194" s="312"/>
      <c r="P194" s="413">
        <f t="shared" si="70"/>
        <v>170000</v>
      </c>
      <c r="Q194" s="294">
        <v>170000</v>
      </c>
      <c r="R194" s="422"/>
      <c r="S194" s="294">
        <v>170000</v>
      </c>
      <c r="T194" s="66">
        <f t="shared" si="95"/>
        <v>170000</v>
      </c>
      <c r="U194" s="66">
        <f t="shared" si="96"/>
        <v>340000</v>
      </c>
      <c r="V194" s="66">
        <f t="shared" si="64"/>
        <v>510000</v>
      </c>
      <c r="W194" s="70">
        <f t="shared" si="97"/>
        <v>1004790</v>
      </c>
      <c r="X194" s="137"/>
      <c r="Y194" s="423"/>
      <c r="Z194" s="414">
        <v>340000</v>
      </c>
      <c r="AA194" s="68">
        <v>1004790</v>
      </c>
    </row>
    <row r="195" spans="1:27">
      <c r="A195" s="236">
        <f t="shared" si="69"/>
        <v>397</v>
      </c>
      <c r="B195" s="298" t="s">
        <v>672</v>
      </c>
      <c r="C195" s="238"/>
      <c r="D195" s="62">
        <v>346830</v>
      </c>
      <c r="E195" s="238">
        <v>115610</v>
      </c>
      <c r="F195" s="238">
        <v>115610</v>
      </c>
      <c r="G195" s="238">
        <v>115610</v>
      </c>
      <c r="H195" s="300"/>
      <c r="I195" s="238"/>
      <c r="J195" s="238">
        <v>115610</v>
      </c>
      <c r="K195" s="62">
        <f t="shared" si="98"/>
        <v>115610</v>
      </c>
      <c r="L195" s="239"/>
      <c r="M195" s="413">
        <v>150000</v>
      </c>
      <c r="N195" s="413">
        <f t="shared" si="73"/>
        <v>150000</v>
      </c>
      <c r="O195" s="643"/>
      <c r="P195" s="413">
        <f t="shared" si="70"/>
        <v>150000</v>
      </c>
      <c r="Q195" s="294">
        <v>150000</v>
      </c>
      <c r="R195" s="422"/>
      <c r="S195" s="294">
        <v>150000</v>
      </c>
      <c r="T195" s="66">
        <f t="shared" si="95"/>
        <v>150000</v>
      </c>
      <c r="U195" s="66">
        <f t="shared" si="96"/>
        <v>300000</v>
      </c>
      <c r="V195" s="66">
        <f t="shared" si="64"/>
        <v>450000</v>
      </c>
      <c r="W195" s="70">
        <f t="shared" si="97"/>
        <v>346830</v>
      </c>
      <c r="X195" s="137"/>
      <c r="Y195" s="422" t="s">
        <v>673</v>
      </c>
      <c r="Z195" s="414">
        <v>300000</v>
      </c>
      <c r="AA195" s="68">
        <v>346830</v>
      </c>
    </row>
    <row r="196" spans="1:27">
      <c r="A196" s="236">
        <f t="shared" si="69"/>
        <v>398</v>
      </c>
      <c r="B196" s="298" t="s">
        <v>674</v>
      </c>
      <c r="C196" s="238"/>
      <c r="D196" s="62">
        <v>580000</v>
      </c>
      <c r="E196" s="238">
        <v>193333.33333333334</v>
      </c>
      <c r="F196" s="238">
        <v>193333.33333333334</v>
      </c>
      <c r="G196" s="238">
        <v>193333.33333333334</v>
      </c>
      <c r="H196" s="300"/>
      <c r="I196" s="238"/>
      <c r="J196" s="238">
        <v>193333.33333333334</v>
      </c>
      <c r="K196" s="62">
        <f t="shared" si="98"/>
        <v>193333.33333333334</v>
      </c>
      <c r="L196" s="239"/>
      <c r="M196" s="413">
        <v>350000</v>
      </c>
      <c r="N196" s="413">
        <f t="shared" si="73"/>
        <v>350000</v>
      </c>
      <c r="O196" s="312"/>
      <c r="P196" s="413">
        <f t="shared" si="70"/>
        <v>350000</v>
      </c>
      <c r="Q196" s="294">
        <v>250000</v>
      </c>
      <c r="R196" s="422"/>
      <c r="S196" s="422">
        <v>200000</v>
      </c>
      <c r="T196" s="66">
        <f t="shared" si="95"/>
        <v>200000</v>
      </c>
      <c r="U196" s="66">
        <f t="shared" si="96"/>
        <v>450000</v>
      </c>
      <c r="V196" s="66">
        <f t="shared" si="64"/>
        <v>800000</v>
      </c>
      <c r="W196" s="70">
        <f t="shared" si="97"/>
        <v>580000</v>
      </c>
      <c r="X196" s="137"/>
      <c r="Y196" s="422"/>
      <c r="Z196" s="414">
        <v>450000</v>
      </c>
      <c r="AA196" s="68">
        <v>580000</v>
      </c>
    </row>
    <row r="197" spans="1:27">
      <c r="A197" s="236">
        <f t="shared" si="69"/>
        <v>399</v>
      </c>
      <c r="B197" s="298" t="s">
        <v>675</v>
      </c>
      <c r="C197" s="238"/>
      <c r="D197" s="62">
        <v>395010</v>
      </c>
      <c r="E197" s="238">
        <v>131670</v>
      </c>
      <c r="F197" s="238">
        <v>131670</v>
      </c>
      <c r="G197" s="238">
        <v>131670</v>
      </c>
      <c r="H197" s="300"/>
      <c r="I197" s="238"/>
      <c r="J197" s="238">
        <v>131670</v>
      </c>
      <c r="K197" s="62">
        <f t="shared" si="98"/>
        <v>131670</v>
      </c>
      <c r="L197" s="239"/>
      <c r="M197" s="413">
        <v>50000</v>
      </c>
      <c r="N197" s="413">
        <f t="shared" si="73"/>
        <v>50000</v>
      </c>
      <c r="O197" s="312" t="s">
        <v>676</v>
      </c>
      <c r="P197" s="413">
        <f t="shared" si="70"/>
        <v>50000</v>
      </c>
      <c r="Q197" s="294">
        <v>50000</v>
      </c>
      <c r="R197" s="422"/>
      <c r="S197" s="294">
        <v>50000</v>
      </c>
      <c r="T197" s="66">
        <f t="shared" si="95"/>
        <v>50000</v>
      </c>
      <c r="U197" s="66">
        <f t="shared" si="96"/>
        <v>100000</v>
      </c>
      <c r="V197" s="66">
        <f t="shared" si="64"/>
        <v>150000</v>
      </c>
      <c r="W197" s="70">
        <f t="shared" si="97"/>
        <v>395010</v>
      </c>
      <c r="X197" s="137"/>
      <c r="Y197" s="423" t="s">
        <v>676</v>
      </c>
      <c r="Z197" s="414">
        <v>100000</v>
      </c>
      <c r="AA197" s="68">
        <v>395010</v>
      </c>
    </row>
    <row r="198" spans="1:27">
      <c r="A198" s="627">
        <f t="shared" si="69"/>
        <v>400</v>
      </c>
      <c r="B198" s="628" t="s">
        <v>677</v>
      </c>
      <c r="C198" s="644">
        <f>SUM(C188:C197)</f>
        <v>3543830</v>
      </c>
      <c r="D198" s="644">
        <v>2872830</v>
      </c>
      <c r="E198" s="644">
        <f t="shared" ref="E198:I198" si="99">SUM(E188:E197)</f>
        <v>938302.66666666674</v>
      </c>
      <c r="F198" s="644">
        <f t="shared" si="99"/>
        <v>957610.00000000012</v>
      </c>
      <c r="G198" s="644">
        <f>SUM(G188:G197)</f>
        <v>957610.00000000012</v>
      </c>
      <c r="H198" s="645"/>
      <c r="I198" s="644">
        <f t="shared" si="99"/>
        <v>0</v>
      </c>
      <c r="J198" s="644">
        <f>SUM(J188:J197)</f>
        <v>957610.00000000012</v>
      </c>
      <c r="K198" s="644">
        <f>SUM(K188:K197)</f>
        <v>957610.00000000012</v>
      </c>
      <c r="L198" s="646">
        <f t="shared" ref="L198:N198" si="100">SUM(L188:L197)</f>
        <v>0</v>
      </c>
      <c r="M198" s="646">
        <f>SUM(M188:M197)</f>
        <v>1140000</v>
      </c>
      <c r="N198" s="646">
        <f t="shared" si="100"/>
        <v>1140000</v>
      </c>
      <c r="O198" s="638"/>
      <c r="P198" s="646">
        <f t="shared" si="70"/>
        <v>1140000</v>
      </c>
      <c r="Q198" s="647">
        <f t="shared" ref="Q198:U198" si="101">SUM(Q188:Q197)</f>
        <v>830000</v>
      </c>
      <c r="R198" s="647">
        <f t="shared" si="101"/>
        <v>0</v>
      </c>
      <c r="S198" s="647">
        <f t="shared" si="101"/>
        <v>747400</v>
      </c>
      <c r="T198" s="647">
        <f t="shared" si="101"/>
        <v>747400</v>
      </c>
      <c r="U198" s="647">
        <f t="shared" si="101"/>
        <v>1577400</v>
      </c>
      <c r="V198" s="86">
        <f t="shared" si="64"/>
        <v>2717400</v>
      </c>
      <c r="W198" s="644">
        <f t="shared" si="97"/>
        <v>2853522.666666667</v>
      </c>
      <c r="X198" s="648"/>
      <c r="Y198" s="422"/>
      <c r="Z198" s="649">
        <v>1577400</v>
      </c>
      <c r="AA198" s="88">
        <v>2872830</v>
      </c>
    </row>
    <row r="199" spans="1:27">
      <c r="A199" s="236">
        <f t="shared" si="69"/>
        <v>401</v>
      </c>
      <c r="B199" s="298"/>
      <c r="C199" s="238"/>
      <c r="D199" s="70">
        <v>0</v>
      </c>
      <c r="E199" s="70"/>
      <c r="F199" s="70"/>
      <c r="G199" s="70"/>
      <c r="H199" s="71"/>
      <c r="I199" s="70"/>
      <c r="J199" s="70"/>
      <c r="K199" s="70"/>
      <c r="L199" s="413"/>
      <c r="M199" s="413"/>
      <c r="N199" s="413">
        <f t="shared" si="73"/>
        <v>0</v>
      </c>
      <c r="O199" s="312"/>
      <c r="P199" s="413">
        <f t="shared" si="70"/>
        <v>0</v>
      </c>
      <c r="Q199" s="422"/>
      <c r="R199" s="422"/>
      <c r="S199" s="422"/>
      <c r="T199" s="422"/>
      <c r="U199" s="422"/>
      <c r="V199" s="294">
        <f t="shared" si="64"/>
        <v>0</v>
      </c>
      <c r="W199" s="70"/>
      <c r="X199" s="423"/>
      <c r="Y199" s="422"/>
      <c r="Z199" s="414"/>
      <c r="AA199" s="297"/>
    </row>
    <row r="200" spans="1:27" ht="32.25" customHeight="1">
      <c r="A200" s="236">
        <f t="shared" si="69"/>
        <v>402</v>
      </c>
      <c r="B200" s="437" t="s">
        <v>678</v>
      </c>
      <c r="C200" s="238">
        <v>1500000</v>
      </c>
      <c r="D200" s="238">
        <v>667000</v>
      </c>
      <c r="E200" s="418">
        <v>605625</v>
      </c>
      <c r="F200" s="238">
        <v>155690</v>
      </c>
      <c r="G200" s="238">
        <f>D200-E200</f>
        <v>61375</v>
      </c>
      <c r="H200" s="300"/>
      <c r="I200" s="238"/>
      <c r="J200" s="238">
        <v>0</v>
      </c>
      <c r="K200" s="62">
        <f>J200</f>
        <v>0</v>
      </c>
      <c r="L200" s="239"/>
      <c r="M200" s="413">
        <v>225000</v>
      </c>
      <c r="N200" s="413">
        <f t="shared" si="73"/>
        <v>225000</v>
      </c>
      <c r="O200" s="312" t="s">
        <v>679</v>
      </c>
      <c r="P200" s="413">
        <f t="shared" si="70"/>
        <v>225000</v>
      </c>
      <c r="Q200" s="294">
        <v>220000</v>
      </c>
      <c r="R200" s="294"/>
      <c r="S200" s="294">
        <v>220000</v>
      </c>
      <c r="T200" s="66">
        <f>R200+S200</f>
        <v>220000</v>
      </c>
      <c r="U200" s="66">
        <f>Q200+T200</f>
        <v>440000</v>
      </c>
      <c r="V200" s="66">
        <f t="shared" si="64"/>
        <v>665000</v>
      </c>
      <c r="W200" s="70">
        <f>E200+G200+K200</f>
        <v>667000</v>
      </c>
      <c r="X200" s="137"/>
      <c r="Y200" s="622" t="s">
        <v>679</v>
      </c>
      <c r="Z200" s="414">
        <v>440000</v>
      </c>
      <c r="AA200" s="68">
        <v>667000</v>
      </c>
    </row>
    <row r="201" spans="1:27">
      <c r="A201" s="236">
        <f t="shared" si="69"/>
        <v>403</v>
      </c>
      <c r="B201" s="298" t="s">
        <v>680</v>
      </c>
      <c r="C201" s="238">
        <v>978699.48510000005</v>
      </c>
      <c r="D201" s="238">
        <v>1038636</v>
      </c>
      <c r="E201" s="70">
        <v>346212</v>
      </c>
      <c r="F201" s="70">
        <f>'[4]Rent Debt'!P4</f>
        <v>346212</v>
      </c>
      <c r="G201" s="70">
        <v>346212</v>
      </c>
      <c r="H201" s="71"/>
      <c r="I201" s="70"/>
      <c r="J201" s="70">
        <f>I201</f>
        <v>0</v>
      </c>
      <c r="K201" s="70">
        <v>346212</v>
      </c>
      <c r="L201" s="413"/>
      <c r="M201" s="413">
        <v>356598.36</v>
      </c>
      <c r="N201" s="413">
        <f t="shared" si="73"/>
        <v>356598.36</v>
      </c>
      <c r="O201" s="301"/>
      <c r="P201" s="413">
        <f t="shared" si="70"/>
        <v>356598.36</v>
      </c>
      <c r="Q201" s="294">
        <v>356598.36</v>
      </c>
      <c r="R201" s="294"/>
      <c r="S201" s="294">
        <v>356598.36</v>
      </c>
      <c r="T201" s="66">
        <f>R201+S201</f>
        <v>356598.36</v>
      </c>
      <c r="U201" s="66">
        <f>Q201+T201</f>
        <v>713196.72</v>
      </c>
      <c r="V201" s="66">
        <f t="shared" si="64"/>
        <v>1069795.08</v>
      </c>
      <c r="W201" s="70">
        <f>E201+G201+K201</f>
        <v>1038636</v>
      </c>
      <c r="X201" s="137"/>
      <c r="Y201" s="422" t="s">
        <v>681</v>
      </c>
      <c r="Z201" s="414">
        <v>713196.72</v>
      </c>
      <c r="AA201" s="68">
        <v>1038636</v>
      </c>
    </row>
    <row r="202" spans="1:27" s="434" customFormat="1">
      <c r="A202" s="313">
        <f t="shared" si="69"/>
        <v>404</v>
      </c>
      <c r="B202" s="525" t="s">
        <v>682</v>
      </c>
      <c r="C202" s="650">
        <f>+C198+C186+C180+C176+C200+C201</f>
        <v>12898968.485099999</v>
      </c>
      <c r="D202" s="536">
        <f t="shared" ref="D202:I202" si="102">+D198+D186+D180+D176+D200+D201</f>
        <v>12040555</v>
      </c>
      <c r="E202" s="536">
        <f t="shared" si="102"/>
        <v>4462504</v>
      </c>
      <c r="F202" s="536">
        <f>+F198+F186+F180+F176+F200+F201</f>
        <v>4031876</v>
      </c>
      <c r="G202" s="536">
        <f>+G198+G186+G180+G176+G200+G201</f>
        <v>3937561</v>
      </c>
      <c r="H202" s="651"/>
      <c r="I202" s="536">
        <f t="shared" si="102"/>
        <v>0</v>
      </c>
      <c r="J202" s="536">
        <f>+J198+J186+J180+J176+J200+J201</f>
        <v>3402473</v>
      </c>
      <c r="K202" s="536">
        <f>+K198+K186+K180+K176+K200+K201</f>
        <v>3748685</v>
      </c>
      <c r="L202" s="537">
        <f t="shared" ref="L202:N202" si="103">+L198+L186+L180+L176+L200+L201</f>
        <v>0</v>
      </c>
      <c r="M202" s="537">
        <f t="shared" si="103"/>
        <v>4349794.3600000003</v>
      </c>
      <c r="N202" s="537">
        <f t="shared" si="103"/>
        <v>4349794.3600000003</v>
      </c>
      <c r="O202" s="512"/>
      <c r="P202" s="537">
        <f t="shared" si="70"/>
        <v>4349794.3600000003</v>
      </c>
      <c r="Q202" s="545">
        <f t="shared" ref="Q202:U202" si="104">+Q198+Q186+Q180+Q176+Q200+Q201</f>
        <v>4077294.0266666668</v>
      </c>
      <c r="R202" s="545">
        <f t="shared" si="104"/>
        <v>0</v>
      </c>
      <c r="S202" s="545">
        <f t="shared" si="104"/>
        <v>3994694.0266666668</v>
      </c>
      <c r="T202" s="545">
        <f t="shared" si="104"/>
        <v>3994694.0266666668</v>
      </c>
      <c r="U202" s="545">
        <f t="shared" si="104"/>
        <v>8071988.0533333337</v>
      </c>
      <c r="V202" s="545">
        <f t="shared" si="64"/>
        <v>12421782.413333334</v>
      </c>
      <c r="W202" s="536">
        <f>E202+G202+K202</f>
        <v>12148750</v>
      </c>
      <c r="X202" s="652"/>
      <c r="Y202" s="653"/>
      <c r="Z202" s="540">
        <v>8071988.0533333337</v>
      </c>
      <c r="AA202" s="612">
        <v>11690555</v>
      </c>
    </row>
    <row r="203" spans="1:27">
      <c r="A203" s="236">
        <f t="shared" si="69"/>
        <v>405</v>
      </c>
      <c r="B203" s="298"/>
      <c r="C203" s="238"/>
      <c r="D203" s="238"/>
      <c r="E203" s="238"/>
      <c r="F203" s="238"/>
      <c r="G203" s="238"/>
      <c r="H203" s="300"/>
      <c r="I203" s="238"/>
      <c r="J203" s="238"/>
      <c r="K203" s="238"/>
      <c r="L203" s="239"/>
      <c r="M203" s="239"/>
      <c r="N203" s="239">
        <f t="shared" si="73"/>
        <v>0</v>
      </c>
      <c r="O203" s="312"/>
      <c r="P203" s="239">
        <f t="shared" si="70"/>
        <v>0</v>
      </c>
      <c r="Q203" s="294"/>
      <c r="R203" s="294"/>
      <c r="S203" s="294"/>
      <c r="T203" s="422"/>
      <c r="U203" s="422"/>
      <c r="V203" s="294">
        <f t="shared" ref="V203:V208" si="105">U203+P203</f>
        <v>0</v>
      </c>
      <c r="W203" s="238"/>
      <c r="X203" s="423"/>
      <c r="Y203" s="422"/>
      <c r="Z203" s="346"/>
      <c r="AA203" s="297"/>
    </row>
    <row r="204" spans="1:27">
      <c r="A204" s="495">
        <f t="shared" si="69"/>
        <v>406</v>
      </c>
      <c r="B204" s="504" t="s">
        <v>164</v>
      </c>
      <c r="C204" s="62"/>
      <c r="D204" s="62"/>
      <c r="E204" s="62"/>
      <c r="F204" s="62"/>
      <c r="G204" s="62"/>
      <c r="H204" s="63"/>
      <c r="I204" s="62"/>
      <c r="J204" s="62"/>
      <c r="K204" s="62"/>
      <c r="L204" s="56"/>
      <c r="M204" s="56"/>
      <c r="N204" s="56">
        <f t="shared" si="73"/>
        <v>0</v>
      </c>
      <c r="O204" s="332"/>
      <c r="P204" s="56">
        <f t="shared" si="70"/>
        <v>0</v>
      </c>
      <c r="Q204" s="422"/>
      <c r="R204" s="422"/>
      <c r="S204" s="422"/>
      <c r="T204" s="422"/>
      <c r="U204" s="422"/>
      <c r="V204" s="294">
        <f t="shared" si="105"/>
        <v>0</v>
      </c>
      <c r="W204" s="62"/>
      <c r="X204" s="423"/>
      <c r="Y204" s="422"/>
      <c r="Z204" s="60"/>
      <c r="AA204" s="297"/>
    </row>
    <row r="205" spans="1:27">
      <c r="A205" s="562">
        <f t="shared" si="69"/>
        <v>407</v>
      </c>
      <c r="B205" s="502" t="s">
        <v>164</v>
      </c>
      <c r="C205" s="62">
        <v>110400</v>
      </c>
      <c r="D205" s="62">
        <v>0</v>
      </c>
      <c r="E205" s="62"/>
      <c r="F205" s="62"/>
      <c r="G205" s="62"/>
      <c r="H205" s="63"/>
      <c r="I205" s="62"/>
      <c r="J205" s="62"/>
      <c r="K205" s="62"/>
      <c r="L205" s="56"/>
      <c r="M205" s="56"/>
      <c r="N205" s="56">
        <f t="shared" si="73"/>
        <v>0</v>
      </c>
      <c r="O205" s="332"/>
      <c r="P205" s="56">
        <f t="shared" si="70"/>
        <v>0</v>
      </c>
      <c r="Q205" s="422"/>
      <c r="R205" s="422"/>
      <c r="S205" s="422"/>
      <c r="T205" s="66">
        <f>R205+S205</f>
        <v>0</v>
      </c>
      <c r="U205" s="66">
        <f>Q205+T205</f>
        <v>0</v>
      </c>
      <c r="V205" s="66">
        <f t="shared" si="105"/>
        <v>0</v>
      </c>
      <c r="W205" s="62"/>
      <c r="X205" s="137"/>
      <c r="Y205" s="422"/>
      <c r="Z205" s="60">
        <v>0</v>
      </c>
      <c r="AA205" s="68">
        <v>0</v>
      </c>
    </row>
    <row r="206" spans="1:27" s="434" customFormat="1">
      <c r="A206" s="610">
        <f t="shared" si="69"/>
        <v>408</v>
      </c>
      <c r="B206" s="509" t="s">
        <v>164</v>
      </c>
      <c r="C206" s="510">
        <f>C205</f>
        <v>110400</v>
      </c>
      <c r="D206" s="510">
        <v>0</v>
      </c>
      <c r="E206" s="510"/>
      <c r="F206" s="510">
        <f t="shared" ref="F206:I206" si="106">SUM(F205)</f>
        <v>0</v>
      </c>
      <c r="G206" s="510">
        <f t="shared" si="106"/>
        <v>0</v>
      </c>
      <c r="H206" s="315"/>
      <c r="I206" s="510">
        <f t="shared" si="106"/>
        <v>0</v>
      </c>
      <c r="J206" s="510">
        <f>SUM(J205)</f>
        <v>0</v>
      </c>
      <c r="K206" s="510"/>
      <c r="L206" s="511">
        <f t="shared" ref="L206:M206" si="107">SUM(L205)</f>
        <v>0</v>
      </c>
      <c r="M206" s="511">
        <f t="shared" si="107"/>
        <v>0</v>
      </c>
      <c r="N206" s="511">
        <f t="shared" si="73"/>
        <v>0</v>
      </c>
      <c r="O206" s="512"/>
      <c r="P206" s="511">
        <f t="shared" si="70"/>
        <v>0</v>
      </c>
      <c r="Q206" s="580"/>
      <c r="R206" s="580"/>
      <c r="S206" s="580"/>
      <c r="T206" s="580"/>
      <c r="U206" s="580"/>
      <c r="V206" s="320">
        <f t="shared" si="105"/>
        <v>0</v>
      </c>
      <c r="W206" s="510">
        <f>E206+G206+K206</f>
        <v>0</v>
      </c>
      <c r="X206" s="581"/>
      <c r="Y206" s="580"/>
      <c r="Z206" s="654"/>
      <c r="AA206" s="321">
        <v>0</v>
      </c>
    </row>
    <row r="207" spans="1:27" s="503" customFormat="1">
      <c r="A207" s="236">
        <f t="shared" ref="A207:A208" si="108">A206+1</f>
        <v>409</v>
      </c>
      <c r="B207" s="298"/>
      <c r="C207" s="238"/>
      <c r="D207" s="238">
        <v>0</v>
      </c>
      <c r="E207" s="238"/>
      <c r="F207" s="238"/>
      <c r="G207" s="238"/>
      <c r="H207" s="300"/>
      <c r="I207" s="238"/>
      <c r="J207" s="238"/>
      <c r="K207" s="238"/>
      <c r="L207" s="239"/>
      <c r="M207" s="239"/>
      <c r="N207" s="239">
        <f t="shared" si="73"/>
        <v>0</v>
      </c>
      <c r="O207" s="312"/>
      <c r="P207" s="239">
        <f t="shared" ref="P207:P208" si="109">N207</f>
        <v>0</v>
      </c>
      <c r="Q207" s="655"/>
      <c r="R207" s="655"/>
      <c r="S207" s="655"/>
      <c r="T207" s="655"/>
      <c r="U207" s="655"/>
      <c r="V207" s="294">
        <f t="shared" si="105"/>
        <v>0</v>
      </c>
      <c r="W207" s="238"/>
      <c r="X207" s="656"/>
      <c r="Y207" s="655"/>
      <c r="Z207" s="346"/>
      <c r="AA207" s="297"/>
    </row>
    <row r="208" spans="1:27" s="517" customFormat="1">
      <c r="A208" s="313">
        <f t="shared" si="108"/>
        <v>410</v>
      </c>
      <c r="B208" s="525" t="s">
        <v>683</v>
      </c>
      <c r="C208" s="510">
        <f>C206+C144+C162+C170+C202</f>
        <v>28312349.392552875</v>
      </c>
      <c r="D208" s="510">
        <f>D206+D144+D162+D170+D202</f>
        <v>28260385.437019452</v>
      </c>
      <c r="E208" s="510">
        <f>E206+E144+E162+E170+E202</f>
        <v>9137496</v>
      </c>
      <c r="F208" s="510">
        <f>F206+F144+F162+F170+F202</f>
        <v>9885619.5216706563</v>
      </c>
      <c r="G208" s="510">
        <f>G206+G144+G162+G170+G202</f>
        <v>9154385.4450039901</v>
      </c>
      <c r="H208" s="315"/>
      <c r="I208" s="510">
        <f t="shared" ref="I208:N208" si="110">I206+I144+I162+I170+I202</f>
        <v>671808</v>
      </c>
      <c r="J208" s="510">
        <f t="shared" si="110"/>
        <v>8712517.4524449483</v>
      </c>
      <c r="K208" s="510">
        <f t="shared" si="110"/>
        <v>9645537.4524449483</v>
      </c>
      <c r="L208" s="511">
        <f t="shared" si="110"/>
        <v>586808</v>
      </c>
      <c r="M208" s="511">
        <f t="shared" si="110"/>
        <v>9674930.3120432775</v>
      </c>
      <c r="N208" s="511">
        <f t="shared" si="110"/>
        <v>10256738.312043278</v>
      </c>
      <c r="O208" s="512"/>
      <c r="P208" s="511">
        <f t="shared" si="109"/>
        <v>10256738.312043278</v>
      </c>
      <c r="Q208" s="545">
        <f>Q206+Q144+Q162+Q170+Q202</f>
        <v>10306640.639355242</v>
      </c>
      <c r="R208" s="545">
        <f>R206+R144+R162+R170+R202</f>
        <v>375000</v>
      </c>
      <c r="S208" s="545">
        <f>S206+S144+S162+S170+S202</f>
        <v>9337913.3640523199</v>
      </c>
      <c r="T208" s="545">
        <f>T206+T144+T162+T170+T202</f>
        <v>9692938.3640523199</v>
      </c>
      <c r="U208" s="545">
        <f>U206+U144+U162+U170+U202</f>
        <v>19999579.00340756</v>
      </c>
      <c r="V208" s="545">
        <f t="shared" si="105"/>
        <v>30256317.31545084</v>
      </c>
      <c r="W208" s="510">
        <f>E208+G208+K208</f>
        <v>27937418.897448938</v>
      </c>
      <c r="X208" s="317"/>
      <c r="Y208" s="545" t="e">
        <f>Y206+#REF!+Y162+Y170+Y202</f>
        <v>#REF!</v>
      </c>
      <c r="Z208" s="515">
        <v>20480775.310927559</v>
      </c>
      <c r="AA208" s="612">
        <v>27818619.41710287</v>
      </c>
    </row>
    <row r="209" spans="1:27" s="517" customFormat="1">
      <c r="A209" s="291"/>
      <c r="B209" s="310"/>
      <c r="C209" s="435"/>
      <c r="D209" s="435"/>
      <c r="E209" s="435"/>
      <c r="F209" s="435"/>
      <c r="G209" s="435"/>
      <c r="H209" s="306"/>
      <c r="I209" s="435"/>
      <c r="J209" s="435"/>
      <c r="K209" s="435"/>
      <c r="L209" s="435"/>
      <c r="M209" s="435"/>
      <c r="N209" s="435"/>
      <c r="O209" s="560"/>
      <c r="P209" s="435"/>
      <c r="V209" s="435"/>
      <c r="W209" s="435"/>
      <c r="X209" s="306">
        <f>U208-Z208</f>
        <v>-481196.3075199984</v>
      </c>
      <c r="Z209" s="654"/>
      <c r="AA209" s="435"/>
    </row>
    <row r="210" spans="1:27" s="517" customFormat="1">
      <c r="A210" s="291"/>
      <c r="B210" s="310"/>
      <c r="C210" s="435"/>
      <c r="D210" s="435"/>
      <c r="E210" s="435"/>
      <c r="F210" s="435"/>
      <c r="G210" s="435"/>
      <c r="H210" s="306"/>
      <c r="I210" s="435"/>
      <c r="J210" s="435"/>
      <c r="K210" s="435"/>
      <c r="L210" s="435"/>
      <c r="M210" s="435"/>
      <c r="N210" s="435"/>
      <c r="O210" s="560"/>
      <c r="P210" s="435"/>
      <c r="V210" s="435"/>
      <c r="W210" s="435"/>
      <c r="X210" s="504"/>
      <c r="Z210" s="654"/>
      <c r="AA210" s="435"/>
    </row>
    <row r="211" spans="1:27" s="517" customFormat="1">
      <c r="A211" s="291"/>
      <c r="B211" s="310"/>
      <c r="C211" s="435"/>
      <c r="D211" s="435"/>
      <c r="E211" s="435"/>
      <c r="F211" s="435"/>
      <c r="G211" s="435"/>
      <c r="H211" s="306"/>
      <c r="I211" s="435"/>
      <c r="J211" s="435"/>
      <c r="K211" s="435"/>
      <c r="L211" s="435"/>
      <c r="M211" s="435"/>
      <c r="N211" s="435"/>
      <c r="O211" s="560"/>
      <c r="P211" s="435"/>
      <c r="V211" s="435"/>
      <c r="W211" s="435"/>
      <c r="X211" s="504"/>
      <c r="Z211" s="654"/>
      <c r="AA211" s="435"/>
    </row>
    <row r="212" spans="1:27" s="517" customFormat="1">
      <c r="A212" s="291"/>
      <c r="B212" s="310"/>
      <c r="C212" s="435"/>
      <c r="D212" s="435"/>
      <c r="E212" s="435"/>
      <c r="F212" s="435"/>
      <c r="G212" s="435"/>
      <c r="H212" s="306"/>
      <c r="I212" s="435"/>
      <c r="J212" s="435"/>
      <c r="K212" s="435"/>
      <c r="L212" s="435"/>
      <c r="M212" s="435"/>
      <c r="N212" s="435"/>
      <c r="O212" s="560"/>
      <c r="P212" s="435"/>
      <c r="V212" s="435"/>
      <c r="W212" s="435"/>
      <c r="X212" s="504"/>
      <c r="Z212" s="654"/>
      <c r="AA212" s="435"/>
    </row>
    <row r="213" spans="1:27" s="503" customFormat="1">
      <c r="A213" s="236"/>
      <c r="B213" s="298"/>
      <c r="C213" s="238"/>
      <c r="D213" s="238"/>
      <c r="E213" s="238"/>
      <c r="F213" s="238"/>
      <c r="G213" s="238"/>
      <c r="H213" s="300"/>
      <c r="I213" s="238"/>
      <c r="J213" s="238"/>
      <c r="K213" s="238"/>
      <c r="L213" s="238"/>
      <c r="M213" s="238"/>
      <c r="N213" s="238"/>
      <c r="O213" s="523"/>
      <c r="P213" s="238"/>
      <c r="V213" s="238"/>
      <c r="W213" s="238"/>
      <c r="X213" s="502"/>
      <c r="Z213" s="346"/>
      <c r="AA213" s="238"/>
    </row>
    <row r="214" spans="1:27" s="503" customFormat="1">
      <c r="A214" s="562"/>
      <c r="B214" s="502"/>
      <c r="C214" s="238"/>
      <c r="D214" s="238"/>
      <c r="E214" s="238"/>
      <c r="F214" s="238"/>
      <c r="G214" s="238"/>
      <c r="H214" s="300"/>
      <c r="I214" s="238"/>
      <c r="J214" s="238"/>
      <c r="K214" s="238"/>
      <c r="L214" s="238"/>
      <c r="M214" s="238"/>
      <c r="N214" s="238"/>
      <c r="O214" s="523"/>
      <c r="P214" s="238"/>
      <c r="V214" s="238"/>
      <c r="W214" s="238"/>
      <c r="X214" s="502"/>
      <c r="Z214" s="346"/>
      <c r="AA214" s="238"/>
    </row>
    <row r="215" spans="1:27" s="503" customFormat="1">
      <c r="A215" s="562"/>
      <c r="B215" s="502"/>
      <c r="C215" s="238"/>
      <c r="D215" s="238"/>
      <c r="E215" s="238"/>
      <c r="F215" s="238"/>
      <c r="G215" s="238"/>
      <c r="H215" s="300"/>
      <c r="I215" s="238"/>
      <c r="J215" s="238"/>
      <c r="K215" s="238"/>
      <c r="L215" s="238"/>
      <c r="M215" s="238"/>
      <c r="N215" s="238"/>
      <c r="O215" s="523"/>
      <c r="P215" s="238"/>
      <c r="V215" s="238"/>
      <c r="W215" s="238"/>
      <c r="X215" s="502"/>
      <c r="Z215" s="346"/>
      <c r="AA215" s="238"/>
    </row>
    <row r="216" spans="1:27" s="503" customFormat="1">
      <c r="A216" s="562"/>
      <c r="B216" s="502"/>
      <c r="C216" s="238"/>
      <c r="D216" s="238"/>
      <c r="E216" s="238"/>
      <c r="F216" s="238"/>
      <c r="G216" s="238"/>
      <c r="H216" s="300"/>
      <c r="I216" s="238"/>
      <c r="J216" s="238"/>
      <c r="K216" s="238"/>
      <c r="L216" s="238"/>
      <c r="M216" s="238"/>
      <c r="N216" s="238"/>
      <c r="O216" s="523"/>
      <c r="P216" s="238"/>
      <c r="V216" s="238"/>
      <c r="W216" s="238"/>
      <c r="X216" s="502"/>
      <c r="Z216" s="346"/>
      <c r="AA216" s="238"/>
    </row>
    <row r="217" spans="1:27" s="503" customFormat="1">
      <c r="A217" s="236"/>
      <c r="B217" s="421"/>
      <c r="C217" s="421"/>
      <c r="D217" s="421"/>
      <c r="E217" s="421"/>
      <c r="F217" s="421"/>
      <c r="G217" s="421"/>
      <c r="H217" s="548"/>
      <c r="I217" s="421"/>
      <c r="J217" s="421"/>
      <c r="K217" s="421"/>
      <c r="L217" s="421"/>
      <c r="M217" s="421"/>
      <c r="N217" s="421"/>
      <c r="O217" s="523"/>
      <c r="P217" s="421"/>
      <c r="V217" s="238"/>
      <c r="W217" s="421"/>
      <c r="X217" s="502"/>
      <c r="Z217" s="657"/>
      <c r="AA217" s="238"/>
    </row>
    <row r="218" spans="1:27" s="238" customFormat="1">
      <c r="A218" s="236"/>
      <c r="B218" s="421"/>
      <c r="C218" s="421"/>
      <c r="D218" s="421"/>
      <c r="E218" s="421"/>
      <c r="F218" s="421"/>
      <c r="G218" s="421"/>
      <c r="H218" s="548"/>
      <c r="I218" s="421"/>
      <c r="J218" s="421"/>
      <c r="K218" s="421"/>
      <c r="L218" s="421"/>
      <c r="M218" s="421"/>
      <c r="N218" s="421"/>
      <c r="O218" s="523"/>
      <c r="P218" s="421"/>
      <c r="W218" s="421"/>
      <c r="X218" s="300"/>
      <c r="Z218" s="657"/>
    </row>
    <row r="219" spans="1:27" s="503" customFormat="1">
      <c r="A219" s="236"/>
      <c r="B219" s="421"/>
      <c r="C219" s="421"/>
      <c r="D219" s="421"/>
      <c r="E219" s="421"/>
      <c r="F219" s="421"/>
      <c r="G219" s="421"/>
      <c r="H219" s="548"/>
      <c r="I219" s="421"/>
      <c r="J219" s="421"/>
      <c r="K219" s="421"/>
      <c r="L219" s="421"/>
      <c r="M219" s="421"/>
      <c r="N219" s="421"/>
      <c r="O219" s="523"/>
      <c r="P219" s="421"/>
      <c r="V219" s="238"/>
      <c r="W219" s="421"/>
      <c r="X219" s="502"/>
      <c r="Z219" s="657"/>
      <c r="AA219" s="238"/>
    </row>
    <row r="220" spans="1:27" s="503" customFormat="1">
      <c r="A220" s="236"/>
      <c r="B220" s="421"/>
      <c r="C220" s="421"/>
      <c r="D220" s="421"/>
      <c r="E220" s="421"/>
      <c r="F220" s="421"/>
      <c r="G220" s="421"/>
      <c r="H220" s="548"/>
      <c r="I220" s="421"/>
      <c r="J220" s="421"/>
      <c r="K220" s="421"/>
      <c r="L220" s="421"/>
      <c r="M220" s="421"/>
      <c r="N220" s="421"/>
      <c r="O220" s="523"/>
      <c r="P220" s="421"/>
      <c r="V220" s="238"/>
      <c r="W220" s="421"/>
      <c r="X220" s="502"/>
      <c r="Z220" s="657"/>
      <c r="AA220" s="238"/>
    </row>
    <row r="223" spans="1:27">
      <c r="A223" s="562"/>
      <c r="B223" s="548"/>
      <c r="C223" s="276"/>
      <c r="D223" s="276"/>
      <c r="E223" s="276"/>
      <c r="F223" s="276"/>
      <c r="G223" s="276"/>
      <c r="H223" s="277"/>
      <c r="I223" s="276"/>
      <c r="J223" s="276"/>
      <c r="K223" s="276"/>
      <c r="L223" s="276"/>
      <c r="M223" s="276"/>
      <c r="N223" s="276"/>
      <c r="P223" s="276"/>
      <c r="W223" s="276"/>
      <c r="Z223" s="440"/>
    </row>
    <row r="224" spans="1:27">
      <c r="A224" s="562"/>
      <c r="B224" s="548"/>
      <c r="C224" s="276"/>
      <c r="D224" s="276"/>
      <c r="E224" s="276"/>
      <c r="F224" s="276"/>
      <c r="G224" s="276"/>
      <c r="H224" s="277"/>
      <c r="I224" s="276"/>
      <c r="J224" s="276"/>
      <c r="K224" s="276"/>
      <c r="L224" s="276"/>
      <c r="M224" s="276"/>
      <c r="N224" s="276"/>
      <c r="P224" s="276"/>
      <c r="W224" s="276"/>
      <c r="Z224" s="440"/>
    </row>
    <row r="225" spans="1:26">
      <c r="A225" s="562"/>
      <c r="B225" s="548"/>
      <c r="C225" s="276"/>
      <c r="D225" s="276"/>
      <c r="E225" s="276"/>
      <c r="F225" s="276"/>
      <c r="G225" s="276"/>
      <c r="H225" s="277"/>
      <c r="I225" s="276"/>
      <c r="J225" s="276"/>
      <c r="K225" s="276"/>
      <c r="L225" s="276"/>
      <c r="M225" s="276"/>
      <c r="N225" s="276"/>
      <c r="P225" s="276"/>
      <c r="W225" s="276"/>
      <c r="Z225" s="440"/>
    </row>
    <row r="226" spans="1:26">
      <c r="A226" s="562"/>
      <c r="B226" s="548"/>
      <c r="C226" s="276"/>
      <c r="D226" s="276"/>
      <c r="E226" s="276"/>
      <c r="F226" s="276"/>
      <c r="G226" s="276"/>
      <c r="H226" s="277"/>
      <c r="I226" s="276"/>
      <c r="J226" s="276"/>
      <c r="K226" s="276"/>
      <c r="L226" s="276"/>
      <c r="M226" s="276"/>
      <c r="N226" s="276"/>
      <c r="P226" s="276"/>
      <c r="W226" s="276"/>
      <c r="Z226" s="440"/>
    </row>
    <row r="227" spans="1:26">
      <c r="A227" s="562"/>
      <c r="B227" s="548"/>
      <c r="C227" s="276"/>
      <c r="D227" s="276"/>
      <c r="E227" s="276"/>
      <c r="F227" s="276"/>
      <c r="G227" s="276"/>
      <c r="H227" s="277"/>
      <c r="I227" s="276"/>
      <c r="J227" s="276"/>
      <c r="K227" s="276"/>
      <c r="L227" s="276"/>
      <c r="M227" s="276"/>
      <c r="N227" s="276"/>
      <c r="P227" s="276"/>
      <c r="W227" s="276"/>
      <c r="Z227" s="440"/>
    </row>
    <row r="228" spans="1:26">
      <c r="A228" s="562"/>
      <c r="B228" s="502"/>
      <c r="C228" s="238"/>
      <c r="D228" s="238"/>
      <c r="E228" s="238"/>
      <c r="F228" s="238"/>
      <c r="G228" s="238"/>
      <c r="H228" s="300"/>
      <c r="I228" s="238"/>
      <c r="J228" s="238"/>
      <c r="K228" s="238"/>
      <c r="L228" s="238"/>
      <c r="M228" s="238"/>
      <c r="N228" s="238"/>
      <c r="P228" s="238"/>
      <c r="W228" s="238"/>
      <c r="Z228" s="346"/>
    </row>
    <row r="229" spans="1:26">
      <c r="A229" s="562"/>
      <c r="B229" s="548"/>
      <c r="C229" s="276"/>
      <c r="D229" s="276"/>
      <c r="E229" s="276"/>
      <c r="F229" s="276"/>
      <c r="G229" s="276"/>
      <c r="H229" s="277"/>
      <c r="I229" s="276"/>
      <c r="J229" s="276"/>
      <c r="K229" s="276"/>
      <c r="L229" s="276"/>
      <c r="M229" s="276"/>
      <c r="N229" s="276"/>
      <c r="P229" s="276"/>
      <c r="W229" s="276"/>
      <c r="Z229" s="440"/>
    </row>
    <row r="230" spans="1:26">
      <c r="A230" s="562"/>
      <c r="B230" s="502"/>
      <c r="C230" s="276"/>
      <c r="D230" s="276"/>
      <c r="E230" s="276"/>
      <c r="F230" s="276"/>
      <c r="G230" s="276"/>
      <c r="H230" s="277"/>
      <c r="I230" s="276"/>
      <c r="J230" s="276"/>
      <c r="K230" s="276"/>
      <c r="L230" s="276"/>
      <c r="M230" s="276"/>
      <c r="N230" s="276"/>
      <c r="P230" s="276"/>
      <c r="W230" s="276"/>
      <c r="Z230" s="440"/>
    </row>
    <row r="231" spans="1:26">
      <c r="A231" s="562"/>
      <c r="B231" s="502"/>
      <c r="C231" s="238"/>
      <c r="D231" s="238"/>
      <c r="E231" s="238"/>
      <c r="F231" s="238"/>
      <c r="G231" s="238"/>
      <c r="H231" s="300"/>
      <c r="I231" s="238"/>
      <c r="J231" s="238"/>
      <c r="K231" s="238"/>
      <c r="L231" s="238"/>
      <c r="M231" s="238"/>
      <c r="N231" s="238"/>
      <c r="P231" s="238"/>
      <c r="W231" s="238"/>
      <c r="Z231" s="346"/>
    </row>
    <row r="232" spans="1:26">
      <c r="A232" s="562"/>
      <c r="B232" s="502"/>
      <c r="C232" s="238"/>
      <c r="D232" s="238"/>
      <c r="E232" s="238"/>
      <c r="F232" s="238"/>
      <c r="G232" s="238"/>
      <c r="H232" s="300"/>
      <c r="I232" s="238"/>
      <c r="J232" s="238"/>
      <c r="K232" s="238"/>
      <c r="L232" s="238"/>
      <c r="M232" s="238"/>
      <c r="N232" s="238"/>
      <c r="P232" s="238"/>
      <c r="W232" s="238"/>
      <c r="Z232" s="346"/>
    </row>
    <row r="233" spans="1:26">
      <c r="A233" s="562"/>
      <c r="B233" s="502"/>
      <c r="C233" s="418"/>
      <c r="D233" s="418"/>
      <c r="E233" s="418"/>
      <c r="F233" s="418"/>
      <c r="G233" s="418"/>
      <c r="H233" s="614"/>
      <c r="I233" s="418"/>
      <c r="J233" s="418"/>
      <c r="K233" s="418"/>
      <c r="L233" s="418"/>
      <c r="M233" s="418"/>
      <c r="N233" s="418"/>
      <c r="P233" s="418"/>
      <c r="W233" s="418"/>
      <c r="Z233" s="617"/>
    </row>
  </sheetData>
  <autoFilter ref="A5:O208" xr:uid="{00000000-0009-0000-0000-000009000000}"/>
  <printOptions horizontalCentered="1" headings="1" gridLines="1"/>
  <pageMargins left="0" right="0" top="0.75" bottom="0.25" header="0.25" footer="0.25"/>
  <pageSetup scale="37" fitToHeight="6" orientation="landscape" r:id="rId1"/>
  <headerFooter>
    <oddFooter>Page &amp;P of &amp;N</oddFooter>
  </headerFooter>
  <rowBreaks count="3" manualBreakCount="3">
    <brk id="68" max="24" man="1"/>
    <brk id="128" max="24" man="1"/>
    <brk id="170" max="24" man="1"/>
  </rowBreaks>
  <colBreaks count="1" manualBreakCount="1">
    <brk id="15" max="20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46B48-35C0-4BFF-ABE6-479006A9060E}">
  <sheetPr>
    <tabColor rgb="FF00B050"/>
  </sheetPr>
  <dimension ref="A1:FJ183"/>
  <sheetViews>
    <sheetView tabSelected="1" view="pageBreakPreview" zoomScale="75" zoomScaleNormal="75" zoomScaleSheetLayoutView="75" workbookViewId="0">
      <pane xSplit="2" ySplit="5" topLeftCell="P93" activePane="bottomRight" state="frozen"/>
      <selection activeCell="Y25" sqref="Y25"/>
      <selection pane="topRight" activeCell="Y25" sqref="Y25"/>
      <selection pane="bottomLeft" activeCell="Y25" sqref="Y25"/>
      <selection pane="bottomRight" activeCell="Y25" sqref="Y25"/>
    </sheetView>
  </sheetViews>
  <sheetFormatPr defaultColWidth="9" defaultRowHeight="14.25"/>
  <cols>
    <col min="1" max="1" width="11.3125" style="298" customWidth="1"/>
    <col min="2" max="2" width="41" style="298" customWidth="1"/>
    <col min="3" max="3" width="12.5625" style="238" hidden="1" customWidth="1"/>
    <col min="4" max="4" width="16.0625" style="238" hidden="1" customWidth="1"/>
    <col min="5" max="5" width="14.25" style="238" hidden="1" customWidth="1"/>
    <col min="6" max="6" width="16.0625" style="238" hidden="1" customWidth="1"/>
    <col min="7" max="7" width="12.5" style="238" hidden="1" customWidth="1"/>
    <col min="8" max="8" width="40.25" style="238" hidden="1" customWidth="1"/>
    <col min="9" max="10" width="15.25" style="238" hidden="1" customWidth="1"/>
    <col min="11" max="11" width="13.5" style="238" hidden="1" customWidth="1"/>
    <col min="12" max="12" width="22.25" style="238" hidden="1" customWidth="1"/>
    <col min="13" max="14" width="25.5" style="238" hidden="1" customWidth="1"/>
    <col min="15" max="15" width="56.8125" style="523" hidden="1" customWidth="1"/>
    <col min="16" max="16" width="15.25" style="238" customWidth="1"/>
    <col min="17" max="17" width="20.8125" style="421" customWidth="1"/>
    <col min="18" max="18" width="18" style="421" customWidth="1"/>
    <col min="19" max="19" width="20.3125" style="421" customWidth="1"/>
    <col min="20" max="20" width="14.5" style="421" customWidth="1"/>
    <col min="21" max="21" width="19.8125" style="421" customWidth="1"/>
    <col min="22" max="22" width="16.8125" style="238" customWidth="1"/>
    <col min="23" max="23" width="18.75" style="238" customWidth="1"/>
    <col min="24" max="24" width="25.3125" style="421" customWidth="1"/>
    <col min="25" max="25" width="51.75" style="548" customWidth="1"/>
    <col min="26" max="26" width="9" style="421"/>
    <col min="27" max="27" width="16.9375" style="346" customWidth="1"/>
    <col min="28" max="16384" width="9" style="421"/>
  </cols>
  <sheetData>
    <row r="1" spans="1:27" s="8" customFormat="1" ht="18">
      <c r="A1" s="1" t="s">
        <v>0</v>
      </c>
      <c r="C1" s="3"/>
      <c r="D1" s="3"/>
      <c r="E1" s="3"/>
      <c r="F1" s="3"/>
      <c r="G1" s="202"/>
      <c r="H1" s="203"/>
      <c r="I1" s="3"/>
      <c r="J1" s="3"/>
      <c r="K1" s="3"/>
      <c r="L1" s="441"/>
      <c r="M1" s="441"/>
      <c r="O1" s="209" t="s">
        <v>1</v>
      </c>
      <c r="V1" s="89"/>
      <c r="W1" s="3"/>
      <c r="Y1" s="209" t="s">
        <v>1</v>
      </c>
      <c r="AA1" s="442"/>
    </row>
    <row r="2" spans="1:27" s="8" customFormat="1" ht="18">
      <c r="A2" s="11" t="s">
        <v>1167</v>
      </c>
      <c r="B2" s="658"/>
      <c r="C2" s="4"/>
      <c r="D2" s="4"/>
      <c r="E2" s="4"/>
      <c r="F2" s="4"/>
      <c r="G2" s="202"/>
      <c r="H2" s="203"/>
      <c r="I2" s="4"/>
      <c r="J2" s="4"/>
      <c r="K2" s="4"/>
      <c r="L2" s="441"/>
      <c r="M2" s="441"/>
      <c r="V2" s="89"/>
      <c r="W2" s="4"/>
      <c r="AA2" s="442"/>
    </row>
    <row r="3" spans="1:27" s="434" customFormat="1" ht="15.75">
      <c r="A3" s="310" t="s">
        <v>684</v>
      </c>
      <c r="B3" s="435"/>
      <c r="C3" s="435"/>
      <c r="D3" s="560"/>
      <c r="E3" s="435"/>
      <c r="F3" s="435"/>
      <c r="G3" s="202"/>
      <c r="H3" s="203"/>
      <c r="I3" s="435"/>
      <c r="J3" s="435"/>
      <c r="K3" s="435"/>
      <c r="L3" s="435"/>
      <c r="M3" s="435"/>
      <c r="N3" s="435"/>
      <c r="O3" s="436"/>
      <c r="P3" s="435"/>
      <c r="V3" s="435"/>
      <c r="W3" s="435"/>
      <c r="Y3" s="436"/>
      <c r="AA3" s="654"/>
    </row>
    <row r="4" spans="1:27" ht="14.65" thickBot="1">
      <c r="A4" s="276"/>
      <c r="B4" s="276"/>
      <c r="C4" s="274"/>
      <c r="D4" s="274"/>
      <c r="E4" s="274"/>
      <c r="F4" s="274"/>
      <c r="G4" s="274"/>
      <c r="H4" s="274"/>
      <c r="I4" s="274"/>
      <c r="J4" s="274"/>
      <c r="K4" s="274"/>
      <c r="L4" s="274"/>
      <c r="M4" s="274"/>
      <c r="N4" s="274"/>
      <c r="O4" s="601"/>
      <c r="P4" s="274"/>
      <c r="W4" s="274"/>
      <c r="AA4" s="278"/>
    </row>
    <row r="5" spans="1:27" s="200" customFormat="1" ht="65.55" customHeight="1" thickBot="1">
      <c r="A5" s="25" t="s">
        <v>5</v>
      </c>
      <c r="B5" s="497" t="s">
        <v>6</v>
      </c>
      <c r="C5" s="27" t="s">
        <v>7</v>
      </c>
      <c r="D5" s="28" t="s">
        <v>8</v>
      </c>
      <c r="E5" s="29" t="s">
        <v>9</v>
      </c>
      <c r="F5" s="29" t="s">
        <v>10</v>
      </c>
      <c r="G5" s="192" t="s">
        <v>11</v>
      </c>
      <c r="H5" s="29" t="s">
        <v>12</v>
      </c>
      <c r="I5" s="659" t="s">
        <v>141</v>
      </c>
      <c r="J5" s="659" t="s">
        <v>142</v>
      </c>
      <c r="K5" s="659" t="s">
        <v>15</v>
      </c>
      <c r="L5" s="660" t="s">
        <v>143</v>
      </c>
      <c r="M5" s="660" t="s">
        <v>17</v>
      </c>
      <c r="N5" s="660" t="s">
        <v>144</v>
      </c>
      <c r="O5" s="193" t="s">
        <v>145</v>
      </c>
      <c r="P5" s="660" t="s">
        <v>20</v>
      </c>
      <c r="Q5" s="195" t="s">
        <v>146</v>
      </c>
      <c r="R5" s="195" t="s">
        <v>147</v>
      </c>
      <c r="S5" s="195" t="s">
        <v>23</v>
      </c>
      <c r="T5" s="195" t="s">
        <v>24</v>
      </c>
      <c r="U5" s="195" t="s">
        <v>25</v>
      </c>
      <c r="V5" s="194" t="s">
        <v>148</v>
      </c>
      <c r="W5" s="661" t="s">
        <v>27</v>
      </c>
      <c r="X5" s="196" t="s">
        <v>28</v>
      </c>
      <c r="Y5" s="662" t="s">
        <v>29</v>
      </c>
      <c r="AA5" s="663" t="s">
        <v>30</v>
      </c>
    </row>
    <row r="6" spans="1:27">
      <c r="A6" s="310">
        <f>'MISSION WITHIN'!A208+1</f>
        <v>411</v>
      </c>
      <c r="B6" s="310" t="s">
        <v>685</v>
      </c>
      <c r="L6" s="239"/>
      <c r="M6" s="239"/>
      <c r="N6" s="239"/>
      <c r="O6" s="312"/>
      <c r="P6" s="239"/>
      <c r="Q6" s="422"/>
      <c r="R6" s="422"/>
      <c r="S6" s="422"/>
      <c r="T6" s="422"/>
      <c r="U6" s="422"/>
      <c r="V6" s="294"/>
      <c r="X6" s="422"/>
      <c r="Y6" s="423"/>
    </row>
    <row r="7" spans="1:27">
      <c r="A7" s="298">
        <f>A6+1</f>
        <v>412</v>
      </c>
      <c r="B7" s="298" t="s">
        <v>686</v>
      </c>
      <c r="C7" s="238">
        <v>1200000</v>
      </c>
      <c r="D7" s="238">
        <v>1150000</v>
      </c>
      <c r="E7" s="62">
        <v>383333</v>
      </c>
      <c r="F7" s="62">
        <v>383333</v>
      </c>
      <c r="G7" s="62">
        <v>383333</v>
      </c>
      <c r="H7" s="68"/>
      <c r="I7" s="62"/>
      <c r="J7" s="62">
        <v>383000</v>
      </c>
      <c r="K7" s="62">
        <f>J7</f>
        <v>383000</v>
      </c>
      <c r="L7" s="56"/>
      <c r="M7" s="56">
        <v>383000</v>
      </c>
      <c r="N7" s="56">
        <f t="shared" ref="N7:N70" si="0">L7+M7</f>
        <v>383000</v>
      </c>
      <c r="O7" s="312"/>
      <c r="P7" s="56">
        <f t="shared" ref="P7:P70" si="1">N7</f>
        <v>383000</v>
      </c>
      <c r="Q7" s="664">
        <f>383000-40000</f>
        <v>343000</v>
      </c>
      <c r="R7" s="664"/>
      <c r="S7" s="664">
        <f>383000-40000</f>
        <v>343000</v>
      </c>
      <c r="T7" s="66">
        <f t="shared" ref="T7:T12" si="2">R7+S7</f>
        <v>343000</v>
      </c>
      <c r="U7" s="66">
        <f t="shared" ref="U7:U12" si="3">Q7+T7</f>
        <v>686000</v>
      </c>
      <c r="V7" s="66">
        <f>P7+U7</f>
        <v>1069000</v>
      </c>
      <c r="W7" s="62">
        <f t="shared" ref="W7:W12" si="4">E7+G7+K7</f>
        <v>1149666</v>
      </c>
      <c r="X7" s="66"/>
      <c r="Y7" s="591"/>
      <c r="AA7" s="60">
        <v>766000</v>
      </c>
    </row>
    <row r="8" spans="1:27">
      <c r="A8" s="298">
        <f t="shared" ref="A8:A71" si="5">A7+1</f>
        <v>413</v>
      </c>
      <c r="B8" s="298" t="s">
        <v>687</v>
      </c>
      <c r="C8" s="238">
        <f>45000-15000</f>
        <v>30000</v>
      </c>
      <c r="D8" s="238">
        <v>45000</v>
      </c>
      <c r="E8" s="62">
        <v>5823</v>
      </c>
      <c r="F8" s="62">
        <v>12500</v>
      </c>
      <c r="G8" s="62">
        <v>500</v>
      </c>
      <c r="H8" s="62" t="s">
        <v>688</v>
      </c>
      <c r="I8" s="62">
        <v>10000</v>
      </c>
      <c r="J8" s="62">
        <v>5000</v>
      </c>
      <c r="K8" s="62">
        <f t="shared" ref="K8:K10" si="6">J8</f>
        <v>5000</v>
      </c>
      <c r="L8" s="56">
        <v>10000</v>
      </c>
      <c r="M8" s="56">
        <v>0</v>
      </c>
      <c r="N8" s="56">
        <f t="shared" si="0"/>
        <v>10000</v>
      </c>
      <c r="O8" s="312"/>
      <c r="P8" s="56">
        <f t="shared" si="1"/>
        <v>10000</v>
      </c>
      <c r="Q8" s="507">
        <v>10000</v>
      </c>
      <c r="R8" s="507">
        <v>0</v>
      </c>
      <c r="S8" s="507">
        <v>10000</v>
      </c>
      <c r="T8" s="66">
        <f t="shared" si="2"/>
        <v>10000</v>
      </c>
      <c r="U8" s="66">
        <f t="shared" si="3"/>
        <v>20000</v>
      </c>
      <c r="V8" s="66">
        <f t="shared" ref="V8" si="7">R8+M8</f>
        <v>0</v>
      </c>
      <c r="W8" s="62">
        <f t="shared" si="4"/>
        <v>11323</v>
      </c>
      <c r="X8" s="585"/>
      <c r="Y8" s="591"/>
      <c r="AA8" s="60">
        <v>20000</v>
      </c>
    </row>
    <row r="9" spans="1:27" ht="28.5">
      <c r="A9" s="298">
        <f t="shared" si="5"/>
        <v>414</v>
      </c>
      <c r="B9" s="298" t="s">
        <v>689</v>
      </c>
      <c r="C9" s="238">
        <v>289050</v>
      </c>
      <c r="D9" s="238">
        <v>420000</v>
      </c>
      <c r="E9" s="62">
        <f>32677+56732+33052+28645+558+97</f>
        <v>151761</v>
      </c>
      <c r="F9" s="62">
        <v>128000</v>
      </c>
      <c r="G9" s="62">
        <v>30000</v>
      </c>
      <c r="H9" s="63" t="s">
        <v>690</v>
      </c>
      <c r="I9" s="62">
        <v>15000</v>
      </c>
      <c r="J9" s="62">
        <v>125000</v>
      </c>
      <c r="K9" s="62">
        <f t="shared" si="6"/>
        <v>125000</v>
      </c>
      <c r="L9" s="56">
        <v>15000</v>
      </c>
      <c r="M9" s="56">
        <v>110000</v>
      </c>
      <c r="N9" s="56">
        <f t="shared" si="0"/>
        <v>125000</v>
      </c>
      <c r="O9" s="312"/>
      <c r="P9" s="56">
        <f t="shared" si="1"/>
        <v>125000</v>
      </c>
      <c r="Q9" s="507">
        <v>115000</v>
      </c>
      <c r="R9" s="507">
        <v>5000</v>
      </c>
      <c r="S9" s="507">
        <v>120000</v>
      </c>
      <c r="T9" s="66">
        <f t="shared" si="2"/>
        <v>125000</v>
      </c>
      <c r="U9" s="66">
        <f t="shared" si="3"/>
        <v>240000</v>
      </c>
      <c r="V9" s="66">
        <f t="shared" ref="V9:V72" si="8">P9+U9</f>
        <v>365000</v>
      </c>
      <c r="W9" s="62">
        <f t="shared" si="4"/>
        <v>306761</v>
      </c>
      <c r="X9" s="586" t="s">
        <v>691</v>
      </c>
      <c r="Y9" s="591" t="s">
        <v>692</v>
      </c>
      <c r="AA9" s="60">
        <v>250000</v>
      </c>
    </row>
    <row r="10" spans="1:27" ht="36.75" customHeight="1">
      <c r="A10" s="298">
        <f t="shared" si="5"/>
        <v>415</v>
      </c>
      <c r="B10" s="298" t="s">
        <v>693</v>
      </c>
      <c r="D10" s="238">
        <v>93000</v>
      </c>
      <c r="E10" s="62">
        <v>12951</v>
      </c>
      <c r="F10" s="62">
        <v>43000</v>
      </c>
      <c r="G10" s="62">
        <v>27000</v>
      </c>
      <c r="H10" s="665" t="s">
        <v>694</v>
      </c>
      <c r="I10" s="62">
        <v>8000</v>
      </c>
      <c r="J10" s="62">
        <v>35000</v>
      </c>
      <c r="K10" s="62">
        <f t="shared" si="6"/>
        <v>35000</v>
      </c>
      <c r="L10" s="56">
        <v>8000</v>
      </c>
      <c r="M10" s="56">
        <v>27000</v>
      </c>
      <c r="N10" s="56">
        <f t="shared" si="0"/>
        <v>35000</v>
      </c>
      <c r="O10" s="312" t="s">
        <v>695</v>
      </c>
      <c r="P10" s="56">
        <f t="shared" si="1"/>
        <v>35000</v>
      </c>
      <c r="Q10" s="507">
        <v>30000</v>
      </c>
      <c r="R10" s="507">
        <v>10000</v>
      </c>
      <c r="S10" s="507">
        <v>20000</v>
      </c>
      <c r="T10" s="66">
        <f t="shared" si="2"/>
        <v>30000</v>
      </c>
      <c r="U10" s="66">
        <f t="shared" si="3"/>
        <v>60000</v>
      </c>
      <c r="V10" s="66">
        <f t="shared" si="8"/>
        <v>95000</v>
      </c>
      <c r="W10" s="62">
        <f t="shared" si="4"/>
        <v>74951</v>
      </c>
      <c r="X10" s="66"/>
      <c r="Y10" s="591" t="s">
        <v>696</v>
      </c>
      <c r="AA10" s="60">
        <v>60000</v>
      </c>
    </row>
    <row r="11" spans="1:27">
      <c r="A11" s="666" t="s">
        <v>697</v>
      </c>
      <c r="B11" s="298" t="s">
        <v>188</v>
      </c>
      <c r="E11" s="62"/>
      <c r="F11" s="62"/>
      <c r="G11" s="62"/>
      <c r="H11" s="665"/>
      <c r="I11" s="62"/>
      <c r="J11" s="62"/>
      <c r="K11" s="62">
        <f>I13</f>
        <v>33000</v>
      </c>
      <c r="L11" s="56"/>
      <c r="M11" s="56"/>
      <c r="N11" s="56">
        <f t="shared" si="0"/>
        <v>0</v>
      </c>
      <c r="O11" s="312"/>
      <c r="P11" s="56">
        <f t="shared" si="1"/>
        <v>0</v>
      </c>
      <c r="Q11" s="294"/>
      <c r="R11" s="294"/>
      <c r="S11" s="294"/>
      <c r="T11" s="66">
        <f t="shared" si="2"/>
        <v>0</v>
      </c>
      <c r="U11" s="66">
        <f t="shared" si="3"/>
        <v>0</v>
      </c>
      <c r="V11" s="66">
        <f t="shared" si="8"/>
        <v>0</v>
      </c>
      <c r="W11" s="62">
        <f t="shared" si="4"/>
        <v>33000</v>
      </c>
      <c r="X11" s="66"/>
      <c r="Y11" s="591"/>
      <c r="AA11" s="60">
        <v>0</v>
      </c>
    </row>
    <row r="12" spans="1:27" ht="31.45" customHeight="1">
      <c r="A12" s="298">
        <f>A10+1</f>
        <v>416</v>
      </c>
      <c r="B12" s="298" t="s">
        <v>419</v>
      </c>
      <c r="C12" s="400">
        <f>'[4]Salary Summary GC Adopted'!Y7</f>
        <v>1640471.5942966545</v>
      </c>
      <c r="D12" s="238">
        <v>2279077.3319096714</v>
      </c>
      <c r="E12" s="62">
        <f>578560</f>
        <v>578560</v>
      </c>
      <c r="F12" s="62">
        <f>'[3]Salary Summary 19 for 2019-2021'!L8</f>
        <v>768124.60437744251</v>
      </c>
      <c r="G12" s="62">
        <f>F12</f>
        <v>768124.60437744251</v>
      </c>
      <c r="H12" s="63" t="s">
        <v>698</v>
      </c>
      <c r="I12" s="62"/>
      <c r="J12" s="62">
        <f>'[3]Salary Summary 20 for 2019-2021'!P8</f>
        <v>791146.97266829549</v>
      </c>
      <c r="K12" s="62">
        <f>J12</f>
        <v>791146.97266829549</v>
      </c>
      <c r="L12" s="56"/>
      <c r="M12" s="56">
        <v>832890.53165745747</v>
      </c>
      <c r="N12" s="56">
        <f t="shared" si="0"/>
        <v>832890.53165745747</v>
      </c>
      <c r="O12" s="301" t="s">
        <v>699</v>
      </c>
      <c r="P12" s="56">
        <f t="shared" si="1"/>
        <v>832890.53165745747</v>
      </c>
      <c r="Q12" s="66">
        <f>'Salary Summary 21 for 2022-2024'!Q9</f>
        <v>727075.59886996937</v>
      </c>
      <c r="R12" s="422"/>
      <c r="S12" s="66">
        <f>'Salary Summary 21 for 2022-2024'!U9</f>
        <v>750628.67394694313</v>
      </c>
      <c r="T12" s="66">
        <f t="shared" si="2"/>
        <v>750628.67394694313</v>
      </c>
      <c r="U12" s="66">
        <f t="shared" si="3"/>
        <v>1477704.2728169125</v>
      </c>
      <c r="V12" s="66">
        <f t="shared" si="8"/>
        <v>2310594.8044743701</v>
      </c>
      <c r="W12" s="62">
        <f t="shared" si="4"/>
        <v>2137831.5770457378</v>
      </c>
      <c r="X12" s="66"/>
      <c r="Y12" s="423" t="s">
        <v>699</v>
      </c>
      <c r="AA12" s="60">
        <v>1477704.2728169125</v>
      </c>
    </row>
    <row r="13" spans="1:27" s="434" customFormat="1">
      <c r="A13" s="525">
        <f t="shared" si="5"/>
        <v>417</v>
      </c>
      <c r="B13" s="525" t="s">
        <v>700</v>
      </c>
      <c r="C13" s="92">
        <f>SUM(C7:C12)</f>
        <v>3159521.5942966547</v>
      </c>
      <c r="D13" s="92">
        <f>SUM(D7:D12)</f>
        <v>3987077.3319096714</v>
      </c>
      <c r="E13" s="92">
        <f t="shared" ref="E13:N13" si="9">SUM(E7:E12)</f>
        <v>1132428</v>
      </c>
      <c r="F13" s="92">
        <f t="shared" si="9"/>
        <v>1334957.6043774425</v>
      </c>
      <c r="G13" s="510">
        <f>SUM(G7:G12)</f>
        <v>1208957.6043774425</v>
      </c>
      <c r="H13" s="92"/>
      <c r="I13" s="92">
        <f t="shared" si="9"/>
        <v>33000</v>
      </c>
      <c r="J13" s="92">
        <f t="shared" si="9"/>
        <v>1339146.9726682955</v>
      </c>
      <c r="K13" s="92">
        <f t="shared" si="9"/>
        <v>1372146.9726682955</v>
      </c>
      <c r="L13" s="93">
        <f t="shared" si="9"/>
        <v>33000</v>
      </c>
      <c r="M13" s="93">
        <f t="shared" si="9"/>
        <v>1352890.5316574574</v>
      </c>
      <c r="N13" s="93">
        <f t="shared" si="9"/>
        <v>1385890.5316574574</v>
      </c>
      <c r="O13" s="518"/>
      <c r="P13" s="93">
        <f t="shared" si="1"/>
        <v>1385890.5316574574</v>
      </c>
      <c r="Q13" s="95">
        <f>SUM(Q7:Q12)</f>
        <v>1225075.5988699694</v>
      </c>
      <c r="R13" s="95">
        <f t="shared" ref="R13:T13" si="10">SUM(R7:R12)</f>
        <v>15000</v>
      </c>
      <c r="S13" s="95">
        <f t="shared" si="10"/>
        <v>1243628.6739469431</v>
      </c>
      <c r="T13" s="95">
        <f t="shared" si="10"/>
        <v>1258628.6739469431</v>
      </c>
      <c r="U13" s="95">
        <f>SUM(U7:U12)</f>
        <v>2483704.2728169123</v>
      </c>
      <c r="V13" s="95">
        <f t="shared" si="8"/>
        <v>3869594.8044743696</v>
      </c>
      <c r="W13" s="92">
        <f>SUM(W7:W12)</f>
        <v>3713532.5770457378</v>
      </c>
      <c r="X13" s="95"/>
      <c r="Y13" s="342">
        <f t="shared" ref="Y13" si="11">SUM(Y7:Y12)</f>
        <v>0</v>
      </c>
      <c r="AA13" s="98">
        <v>2573704.2728169123</v>
      </c>
    </row>
    <row r="14" spans="1:27">
      <c r="A14" s="298">
        <f t="shared" si="5"/>
        <v>418</v>
      </c>
      <c r="D14" s="238">
        <v>0</v>
      </c>
      <c r="L14" s="239"/>
      <c r="M14" s="239"/>
      <c r="N14" s="239">
        <f t="shared" si="0"/>
        <v>0</v>
      </c>
      <c r="O14" s="312"/>
      <c r="P14" s="239">
        <f t="shared" si="1"/>
        <v>0</v>
      </c>
      <c r="Q14" s="422"/>
      <c r="R14" s="422"/>
      <c r="S14" s="422"/>
      <c r="T14" s="422"/>
      <c r="U14" s="422"/>
      <c r="V14" s="294">
        <f t="shared" si="8"/>
        <v>0</v>
      </c>
      <c r="X14" s="422"/>
      <c r="Y14" s="423"/>
    </row>
    <row r="15" spans="1:27">
      <c r="A15" s="310">
        <f t="shared" si="5"/>
        <v>419</v>
      </c>
      <c r="B15" s="310" t="s">
        <v>701</v>
      </c>
      <c r="D15" s="238">
        <v>0</v>
      </c>
      <c r="H15" s="238" t="s">
        <v>702</v>
      </c>
      <c r="L15" s="239"/>
      <c r="M15" s="239"/>
      <c r="N15" s="239">
        <f t="shared" si="0"/>
        <v>0</v>
      </c>
      <c r="O15" s="312" t="s">
        <v>703</v>
      </c>
      <c r="P15" s="239">
        <f t="shared" si="1"/>
        <v>0</v>
      </c>
      <c r="Q15" s="422"/>
      <c r="R15" s="422"/>
      <c r="S15" s="422"/>
      <c r="T15" s="422"/>
      <c r="U15" s="422"/>
      <c r="V15" s="294">
        <f t="shared" si="8"/>
        <v>0</v>
      </c>
      <c r="X15" s="422"/>
      <c r="Y15" s="423"/>
    </row>
    <row r="16" spans="1:27">
      <c r="A16" s="298">
        <f t="shared" si="5"/>
        <v>420</v>
      </c>
      <c r="B16" s="298" t="s">
        <v>704</v>
      </c>
      <c r="C16" s="238">
        <v>12000</v>
      </c>
      <c r="D16" s="238">
        <v>12000</v>
      </c>
      <c r="E16" s="62">
        <v>4000</v>
      </c>
      <c r="F16" s="62">
        <v>4000</v>
      </c>
      <c r="G16" s="62">
        <v>4000</v>
      </c>
      <c r="H16" s="62"/>
      <c r="I16" s="62"/>
      <c r="J16" s="62">
        <v>4000</v>
      </c>
      <c r="K16" s="62">
        <f t="shared" ref="K16:K29" si="12">J16</f>
        <v>4000</v>
      </c>
      <c r="L16" s="56"/>
      <c r="M16" s="56">
        <v>4000</v>
      </c>
      <c r="N16" s="56">
        <f t="shared" si="0"/>
        <v>4000</v>
      </c>
      <c r="O16" s="542" t="s">
        <v>705</v>
      </c>
      <c r="P16" s="56">
        <f t="shared" si="1"/>
        <v>4000</v>
      </c>
      <c r="Q16" s="294">
        <v>4000</v>
      </c>
      <c r="R16" s="294"/>
      <c r="S16" s="294">
        <v>4000</v>
      </c>
      <c r="T16" s="66">
        <f t="shared" ref="T16:T29" si="13">R16+S16</f>
        <v>4000</v>
      </c>
      <c r="U16" s="66">
        <f t="shared" ref="U16:U29" si="14">Q16+T16</f>
        <v>8000</v>
      </c>
      <c r="V16" s="66">
        <f t="shared" si="8"/>
        <v>12000</v>
      </c>
      <c r="W16" s="62">
        <f t="shared" ref="W16:W40" si="15">E16+G16+K16</f>
        <v>12000</v>
      </c>
      <c r="X16" s="66"/>
      <c r="Y16" s="591"/>
      <c r="AA16" s="60">
        <v>8000</v>
      </c>
    </row>
    <row r="17" spans="1:27">
      <c r="A17" s="298">
        <f t="shared" si="5"/>
        <v>421</v>
      </c>
      <c r="B17" s="298" t="s">
        <v>706</v>
      </c>
      <c r="C17" s="238">
        <v>9000</v>
      </c>
      <c r="D17" s="238">
        <v>9000</v>
      </c>
      <c r="E17" s="62">
        <v>0</v>
      </c>
      <c r="F17" s="62">
        <v>3000</v>
      </c>
      <c r="G17" s="62">
        <v>3000</v>
      </c>
      <c r="H17" s="62"/>
      <c r="I17" s="62"/>
      <c r="J17" s="62">
        <v>3000</v>
      </c>
      <c r="K17" s="62">
        <f t="shared" si="12"/>
        <v>3000</v>
      </c>
      <c r="L17" s="56"/>
      <c r="M17" s="56">
        <v>3000</v>
      </c>
      <c r="N17" s="56">
        <f t="shared" si="0"/>
        <v>3000</v>
      </c>
      <c r="O17" s="542"/>
      <c r="P17" s="56">
        <f t="shared" si="1"/>
        <v>3000</v>
      </c>
      <c r="Q17" s="294">
        <v>3000</v>
      </c>
      <c r="R17" s="294"/>
      <c r="S17" s="294">
        <v>3000</v>
      </c>
      <c r="T17" s="66">
        <f t="shared" si="13"/>
        <v>3000</v>
      </c>
      <c r="U17" s="66">
        <f t="shared" si="14"/>
        <v>6000</v>
      </c>
      <c r="V17" s="66">
        <f t="shared" si="8"/>
        <v>9000</v>
      </c>
      <c r="W17" s="62">
        <f t="shared" si="15"/>
        <v>6000</v>
      </c>
      <c r="X17" s="66"/>
      <c r="Y17" s="591"/>
      <c r="AA17" s="60">
        <v>6000</v>
      </c>
    </row>
    <row r="18" spans="1:27">
      <c r="A18" s="298">
        <f t="shared" si="5"/>
        <v>422</v>
      </c>
      <c r="B18" s="298" t="s">
        <v>707</v>
      </c>
      <c r="C18" s="238">
        <v>21000</v>
      </c>
      <c r="D18" s="238">
        <v>21000</v>
      </c>
      <c r="E18" s="62">
        <v>7000</v>
      </c>
      <c r="F18" s="62">
        <v>7000</v>
      </c>
      <c r="G18" s="62">
        <v>7000</v>
      </c>
      <c r="H18" s="62"/>
      <c r="I18" s="62"/>
      <c r="J18" s="62">
        <v>7000</v>
      </c>
      <c r="K18" s="62">
        <f t="shared" si="12"/>
        <v>7000</v>
      </c>
      <c r="L18" s="56"/>
      <c r="M18" s="56">
        <v>7000</v>
      </c>
      <c r="N18" s="56">
        <f t="shared" si="0"/>
        <v>7000</v>
      </c>
      <c r="O18" s="542"/>
      <c r="P18" s="56">
        <f t="shared" si="1"/>
        <v>7000</v>
      </c>
      <c r="Q18" s="294">
        <v>7000</v>
      </c>
      <c r="R18" s="294"/>
      <c r="S18" s="294">
        <v>7000</v>
      </c>
      <c r="T18" s="66">
        <f t="shared" si="13"/>
        <v>7000</v>
      </c>
      <c r="U18" s="66">
        <f t="shared" si="14"/>
        <v>14000</v>
      </c>
      <c r="V18" s="66">
        <f t="shared" si="8"/>
        <v>21000</v>
      </c>
      <c r="W18" s="62">
        <f t="shared" si="15"/>
        <v>21000</v>
      </c>
      <c r="X18" s="66"/>
      <c r="Y18" s="591"/>
      <c r="AA18" s="60">
        <v>14000</v>
      </c>
    </row>
    <row r="19" spans="1:27">
      <c r="A19" s="298">
        <f t="shared" si="5"/>
        <v>423</v>
      </c>
      <c r="B19" s="298" t="s">
        <v>708</v>
      </c>
      <c r="C19" s="238">
        <v>36000</v>
      </c>
      <c r="D19" s="238">
        <v>36000</v>
      </c>
      <c r="E19" s="62">
        <v>12000</v>
      </c>
      <c r="F19" s="62">
        <v>12000</v>
      </c>
      <c r="G19" s="62">
        <v>12000</v>
      </c>
      <c r="H19" s="62"/>
      <c r="I19" s="62"/>
      <c r="J19" s="62">
        <v>12000</v>
      </c>
      <c r="K19" s="62">
        <f t="shared" si="12"/>
        <v>12000</v>
      </c>
      <c r="L19" s="56"/>
      <c r="M19" s="56">
        <v>12000</v>
      </c>
      <c r="N19" s="56">
        <f t="shared" si="0"/>
        <v>12000</v>
      </c>
      <c r="O19" s="542"/>
      <c r="P19" s="56">
        <f t="shared" si="1"/>
        <v>12000</v>
      </c>
      <c r="Q19" s="294">
        <v>12000</v>
      </c>
      <c r="R19" s="294"/>
      <c r="S19" s="294">
        <v>12000</v>
      </c>
      <c r="T19" s="66">
        <f t="shared" si="13"/>
        <v>12000</v>
      </c>
      <c r="U19" s="66">
        <f t="shared" si="14"/>
        <v>24000</v>
      </c>
      <c r="V19" s="66">
        <f t="shared" si="8"/>
        <v>36000</v>
      </c>
      <c r="W19" s="62">
        <f t="shared" si="15"/>
        <v>36000</v>
      </c>
      <c r="X19" s="66"/>
      <c r="Y19" s="591"/>
      <c r="AA19" s="60">
        <v>24000</v>
      </c>
    </row>
    <row r="20" spans="1:27">
      <c r="A20" s="298">
        <f t="shared" si="5"/>
        <v>424</v>
      </c>
      <c r="B20" s="298" t="s">
        <v>709</v>
      </c>
      <c r="C20" s="238">
        <v>25000</v>
      </c>
      <c r="D20" s="238">
        <v>25000</v>
      </c>
      <c r="E20" s="62">
        <v>8333</v>
      </c>
      <c r="F20" s="62">
        <v>8333</v>
      </c>
      <c r="G20" s="62">
        <v>8333</v>
      </c>
      <c r="H20" s="62"/>
      <c r="I20" s="62"/>
      <c r="J20" s="62">
        <v>8333</v>
      </c>
      <c r="K20" s="62">
        <f t="shared" si="12"/>
        <v>8333</v>
      </c>
      <c r="L20" s="56"/>
      <c r="M20" s="56">
        <v>8333</v>
      </c>
      <c r="N20" s="56">
        <f t="shared" si="0"/>
        <v>8333</v>
      </c>
      <c r="O20" s="542"/>
      <c r="P20" s="56">
        <f t="shared" si="1"/>
        <v>8333</v>
      </c>
      <c r="Q20" s="294">
        <v>8333</v>
      </c>
      <c r="R20" s="294"/>
      <c r="S20" s="294">
        <v>8333</v>
      </c>
      <c r="T20" s="66">
        <f t="shared" si="13"/>
        <v>8333</v>
      </c>
      <c r="U20" s="66">
        <f t="shared" si="14"/>
        <v>16666</v>
      </c>
      <c r="V20" s="66">
        <f t="shared" si="8"/>
        <v>24999</v>
      </c>
      <c r="W20" s="62">
        <f t="shared" si="15"/>
        <v>24999</v>
      </c>
      <c r="X20" s="66"/>
      <c r="Y20" s="591"/>
      <c r="AA20" s="60">
        <v>16666</v>
      </c>
    </row>
    <row r="21" spans="1:27">
      <c r="A21" s="298">
        <f t="shared" si="5"/>
        <v>425</v>
      </c>
      <c r="B21" s="298" t="s">
        <v>710</v>
      </c>
      <c r="C21" s="238">
        <v>12000</v>
      </c>
      <c r="D21" s="238">
        <v>12000</v>
      </c>
      <c r="E21" s="62">
        <v>4000</v>
      </c>
      <c r="F21" s="62">
        <v>4000</v>
      </c>
      <c r="G21" s="62">
        <v>4000</v>
      </c>
      <c r="H21" s="62"/>
      <c r="I21" s="62"/>
      <c r="J21" s="62">
        <v>4000</v>
      </c>
      <c r="K21" s="62">
        <f t="shared" si="12"/>
        <v>4000</v>
      </c>
      <c r="L21" s="56"/>
      <c r="M21" s="56">
        <v>4000</v>
      </c>
      <c r="N21" s="56">
        <f t="shared" si="0"/>
        <v>4000</v>
      </c>
      <c r="O21" s="542"/>
      <c r="P21" s="56">
        <f t="shared" si="1"/>
        <v>4000</v>
      </c>
      <c r="Q21" s="294">
        <v>4000</v>
      </c>
      <c r="R21" s="294"/>
      <c r="S21" s="294">
        <v>4000</v>
      </c>
      <c r="T21" s="66">
        <f t="shared" si="13"/>
        <v>4000</v>
      </c>
      <c r="U21" s="66">
        <f t="shared" si="14"/>
        <v>8000</v>
      </c>
      <c r="V21" s="66">
        <f t="shared" si="8"/>
        <v>12000</v>
      </c>
      <c r="W21" s="62">
        <f t="shared" si="15"/>
        <v>12000</v>
      </c>
      <c r="X21" s="66"/>
      <c r="Y21" s="591"/>
      <c r="AA21" s="60">
        <v>8000</v>
      </c>
    </row>
    <row r="22" spans="1:27">
      <c r="A22" s="298">
        <f t="shared" si="5"/>
        <v>426</v>
      </c>
      <c r="B22" s="298" t="s">
        <v>711</v>
      </c>
      <c r="C22" s="238">
        <v>45000</v>
      </c>
      <c r="D22" s="238">
        <v>45000</v>
      </c>
      <c r="E22" s="62">
        <v>0</v>
      </c>
      <c r="F22" s="62">
        <v>15000</v>
      </c>
      <c r="G22" s="62">
        <v>15000</v>
      </c>
      <c r="H22" s="62"/>
      <c r="I22" s="62"/>
      <c r="J22" s="62">
        <v>15000</v>
      </c>
      <c r="K22" s="62">
        <f t="shared" si="12"/>
        <v>15000</v>
      </c>
      <c r="L22" s="56"/>
      <c r="M22" s="56">
        <v>15000</v>
      </c>
      <c r="N22" s="56">
        <f t="shared" si="0"/>
        <v>15000</v>
      </c>
      <c r="O22" s="542"/>
      <c r="P22" s="56">
        <f t="shared" si="1"/>
        <v>15000</v>
      </c>
      <c r="Q22" s="294">
        <v>15000</v>
      </c>
      <c r="R22" s="294"/>
      <c r="S22" s="294">
        <v>0</v>
      </c>
      <c r="T22" s="507">
        <f t="shared" si="13"/>
        <v>0</v>
      </c>
      <c r="U22" s="66">
        <f t="shared" si="14"/>
        <v>15000</v>
      </c>
      <c r="V22" s="66">
        <f t="shared" si="8"/>
        <v>30000</v>
      </c>
      <c r="W22" s="62">
        <f t="shared" si="15"/>
        <v>30000</v>
      </c>
      <c r="X22" s="507" t="s">
        <v>712</v>
      </c>
      <c r="Y22" s="591"/>
      <c r="AA22" s="60">
        <v>30000</v>
      </c>
    </row>
    <row r="23" spans="1:27">
      <c r="A23" s="298">
        <f>A22+1</f>
        <v>427</v>
      </c>
      <c r="B23" s="298" t="s">
        <v>713</v>
      </c>
      <c r="C23" s="238">
        <v>0</v>
      </c>
      <c r="D23" s="238">
        <v>0</v>
      </c>
      <c r="E23" s="62">
        <v>0</v>
      </c>
      <c r="F23" s="62"/>
      <c r="G23" s="62"/>
      <c r="H23" s="62"/>
      <c r="I23" s="62"/>
      <c r="J23" s="62"/>
      <c r="K23" s="62">
        <f t="shared" si="12"/>
        <v>0</v>
      </c>
      <c r="L23" s="56"/>
      <c r="M23" s="56"/>
      <c r="N23" s="56">
        <f t="shared" si="0"/>
        <v>0</v>
      </c>
      <c r="O23" s="542"/>
      <c r="P23" s="56">
        <f t="shared" si="1"/>
        <v>0</v>
      </c>
      <c r="Q23" s="294"/>
      <c r="R23" s="294"/>
      <c r="S23" s="294"/>
      <c r="T23" s="66">
        <f t="shared" si="13"/>
        <v>0</v>
      </c>
      <c r="U23" s="66">
        <f t="shared" si="14"/>
        <v>0</v>
      </c>
      <c r="V23" s="66">
        <f t="shared" si="8"/>
        <v>0</v>
      </c>
      <c r="W23" s="62">
        <f t="shared" si="15"/>
        <v>0</v>
      </c>
      <c r="X23" s="66"/>
      <c r="Y23" s="591"/>
      <c r="AA23" s="60">
        <v>0</v>
      </c>
    </row>
    <row r="24" spans="1:27">
      <c r="A24" s="298">
        <f t="shared" si="5"/>
        <v>428</v>
      </c>
      <c r="B24" s="298" t="s">
        <v>714</v>
      </c>
      <c r="C24" s="238">
        <v>6000</v>
      </c>
      <c r="D24" s="238">
        <v>6000</v>
      </c>
      <c r="E24" s="62">
        <v>0</v>
      </c>
      <c r="F24" s="62">
        <v>2000</v>
      </c>
      <c r="G24" s="62">
        <v>2000</v>
      </c>
      <c r="H24" s="62"/>
      <c r="I24" s="62"/>
      <c r="J24" s="62">
        <v>2000</v>
      </c>
      <c r="K24" s="62">
        <f t="shared" si="12"/>
        <v>2000</v>
      </c>
      <c r="L24" s="56"/>
      <c r="M24" s="56">
        <v>2000</v>
      </c>
      <c r="N24" s="56">
        <f t="shared" si="0"/>
        <v>2000</v>
      </c>
      <c r="O24" s="542"/>
      <c r="P24" s="56">
        <f t="shared" si="1"/>
        <v>2000</v>
      </c>
      <c r="Q24" s="294">
        <v>2000</v>
      </c>
      <c r="R24" s="294"/>
      <c r="S24" s="294">
        <v>2000</v>
      </c>
      <c r="T24" s="66">
        <f t="shared" si="13"/>
        <v>2000</v>
      </c>
      <c r="U24" s="66">
        <f t="shared" si="14"/>
        <v>4000</v>
      </c>
      <c r="V24" s="66">
        <f t="shared" si="8"/>
        <v>6000</v>
      </c>
      <c r="W24" s="62">
        <f t="shared" si="15"/>
        <v>4000</v>
      </c>
      <c r="X24" s="66"/>
      <c r="Y24" s="591"/>
      <c r="AA24" s="60">
        <v>4000</v>
      </c>
    </row>
    <row r="25" spans="1:27" ht="17.95" customHeight="1">
      <c r="A25" s="298">
        <v>429</v>
      </c>
      <c r="B25" s="298" t="s">
        <v>715</v>
      </c>
      <c r="C25" s="297"/>
      <c r="D25" s="297"/>
      <c r="E25" s="68"/>
      <c r="F25" s="68"/>
      <c r="G25" s="68"/>
      <c r="H25" s="68"/>
      <c r="I25" s="62"/>
      <c r="J25" s="62"/>
      <c r="K25" s="62">
        <f t="shared" si="12"/>
        <v>0</v>
      </c>
      <c r="L25" s="56"/>
      <c r="M25" s="56"/>
      <c r="N25" s="56">
        <f t="shared" si="0"/>
        <v>0</v>
      </c>
      <c r="O25" s="542" t="s">
        <v>716</v>
      </c>
      <c r="P25" s="56">
        <f t="shared" si="1"/>
        <v>0</v>
      </c>
      <c r="Q25" s="294"/>
      <c r="R25" s="294"/>
      <c r="S25" s="294"/>
      <c r="T25" s="66">
        <f t="shared" si="13"/>
        <v>0</v>
      </c>
      <c r="U25" s="66">
        <f t="shared" si="14"/>
        <v>0</v>
      </c>
      <c r="V25" s="66">
        <f t="shared" si="8"/>
        <v>0</v>
      </c>
      <c r="W25" s="62">
        <f t="shared" si="15"/>
        <v>0</v>
      </c>
      <c r="X25" s="66"/>
      <c r="Y25" s="591"/>
      <c r="AA25" s="60">
        <v>0</v>
      </c>
    </row>
    <row r="26" spans="1:27" ht="16.8" customHeight="1">
      <c r="E26" s="62"/>
      <c r="F26" s="62"/>
      <c r="G26" s="62"/>
      <c r="H26" s="62"/>
      <c r="I26" s="62"/>
      <c r="J26" s="62"/>
      <c r="K26" s="62">
        <f t="shared" si="12"/>
        <v>0</v>
      </c>
      <c r="L26" s="56"/>
      <c r="M26" s="56"/>
      <c r="N26" s="56">
        <f t="shared" si="0"/>
        <v>0</v>
      </c>
      <c r="O26" s="542"/>
      <c r="P26" s="56">
        <f t="shared" si="1"/>
        <v>0</v>
      </c>
      <c r="Q26" s="294"/>
      <c r="R26" s="294"/>
      <c r="S26" s="294"/>
      <c r="T26" s="66">
        <f t="shared" si="13"/>
        <v>0</v>
      </c>
      <c r="U26" s="66">
        <f t="shared" si="14"/>
        <v>0</v>
      </c>
      <c r="V26" s="66">
        <f t="shared" si="8"/>
        <v>0</v>
      </c>
      <c r="W26" s="62">
        <f t="shared" si="15"/>
        <v>0</v>
      </c>
      <c r="X26" s="66"/>
      <c r="Y26" s="591"/>
      <c r="AA26" s="60">
        <v>0</v>
      </c>
    </row>
    <row r="27" spans="1:27">
      <c r="A27" s="299">
        <f>A25+1</f>
        <v>430</v>
      </c>
      <c r="B27" s="299" t="s">
        <v>717</v>
      </c>
      <c r="C27" s="238">
        <v>0</v>
      </c>
      <c r="D27" s="238">
        <v>0</v>
      </c>
      <c r="E27" s="62">
        <v>5001</v>
      </c>
      <c r="F27" s="62"/>
      <c r="G27" s="62"/>
      <c r="H27" s="62"/>
      <c r="I27" s="62"/>
      <c r="J27" s="62"/>
      <c r="K27" s="62">
        <f t="shared" si="12"/>
        <v>0</v>
      </c>
      <c r="L27" s="56"/>
      <c r="M27" s="56"/>
      <c r="N27" s="56">
        <f t="shared" si="0"/>
        <v>0</v>
      </c>
      <c r="O27" s="542"/>
      <c r="P27" s="56">
        <f t="shared" si="1"/>
        <v>0</v>
      </c>
      <c r="Q27" s="294"/>
      <c r="R27" s="294"/>
      <c r="S27" s="294"/>
      <c r="T27" s="66">
        <f t="shared" si="13"/>
        <v>0</v>
      </c>
      <c r="U27" s="66">
        <f t="shared" si="14"/>
        <v>0</v>
      </c>
      <c r="V27" s="66">
        <f t="shared" si="8"/>
        <v>0</v>
      </c>
      <c r="W27" s="62">
        <f t="shared" si="15"/>
        <v>5001</v>
      </c>
      <c r="X27" s="66"/>
      <c r="Y27" s="591"/>
      <c r="AA27" s="60">
        <v>0</v>
      </c>
    </row>
    <row r="28" spans="1:27">
      <c r="A28" s="298">
        <f t="shared" si="5"/>
        <v>431</v>
      </c>
      <c r="B28" s="298" t="s">
        <v>718</v>
      </c>
      <c r="C28" s="62">
        <v>42000</v>
      </c>
      <c r="D28" s="62">
        <v>42000</v>
      </c>
      <c r="E28" s="62">
        <v>14000</v>
      </c>
      <c r="F28" s="62">
        <v>14000</v>
      </c>
      <c r="G28" s="62">
        <v>14000</v>
      </c>
      <c r="H28" s="62"/>
      <c r="I28" s="62"/>
      <c r="J28" s="62">
        <v>14000</v>
      </c>
      <c r="K28" s="62">
        <f t="shared" si="12"/>
        <v>14000</v>
      </c>
      <c r="L28" s="56"/>
      <c r="M28" s="56">
        <v>14000</v>
      </c>
      <c r="N28" s="56">
        <f t="shared" si="0"/>
        <v>14000</v>
      </c>
      <c r="O28" s="542"/>
      <c r="P28" s="56">
        <f t="shared" si="1"/>
        <v>14000</v>
      </c>
      <c r="Q28" s="294">
        <v>14000</v>
      </c>
      <c r="R28" s="294"/>
      <c r="S28" s="294">
        <v>14000</v>
      </c>
      <c r="T28" s="66">
        <f t="shared" si="13"/>
        <v>14000</v>
      </c>
      <c r="U28" s="66">
        <f t="shared" si="14"/>
        <v>28000</v>
      </c>
      <c r="V28" s="66">
        <f t="shared" si="8"/>
        <v>42000</v>
      </c>
      <c r="W28" s="62">
        <f t="shared" si="15"/>
        <v>42000</v>
      </c>
      <c r="X28" s="66"/>
      <c r="Y28" s="591"/>
      <c r="AA28" s="60">
        <v>28000</v>
      </c>
    </row>
    <row r="29" spans="1:27">
      <c r="A29" s="298">
        <f t="shared" si="5"/>
        <v>432</v>
      </c>
      <c r="B29" s="298" t="s">
        <v>719</v>
      </c>
      <c r="D29" s="238">
        <v>-20000</v>
      </c>
      <c r="E29" s="62"/>
      <c r="F29" s="62">
        <v>0</v>
      </c>
      <c r="G29" s="62"/>
      <c r="H29" s="62"/>
      <c r="I29" s="62"/>
      <c r="J29" s="62"/>
      <c r="K29" s="62">
        <f t="shared" si="12"/>
        <v>0</v>
      </c>
      <c r="L29" s="56"/>
      <c r="M29" s="56"/>
      <c r="N29" s="56">
        <f t="shared" si="0"/>
        <v>0</v>
      </c>
      <c r="O29" s="312"/>
      <c r="P29" s="56">
        <f t="shared" si="1"/>
        <v>0</v>
      </c>
      <c r="Q29" s="294"/>
      <c r="R29" s="294"/>
      <c r="S29" s="294"/>
      <c r="T29" s="66">
        <f t="shared" si="13"/>
        <v>0</v>
      </c>
      <c r="U29" s="66">
        <f t="shared" si="14"/>
        <v>0</v>
      </c>
      <c r="V29" s="66">
        <f t="shared" si="8"/>
        <v>0</v>
      </c>
      <c r="W29" s="62">
        <f t="shared" si="15"/>
        <v>0</v>
      </c>
      <c r="X29" s="66"/>
      <c r="Y29" s="591"/>
      <c r="AA29" s="60">
        <v>0</v>
      </c>
    </row>
    <row r="30" spans="1:27" s="434" customFormat="1">
      <c r="A30" s="367">
        <f t="shared" si="5"/>
        <v>433</v>
      </c>
      <c r="B30" s="367" t="s">
        <v>720</v>
      </c>
      <c r="C30" s="160">
        <f>SUM(C16:C28)</f>
        <v>208000</v>
      </c>
      <c r="D30" s="160">
        <f t="shared" ref="D30:H30" si="16">SUM(D16:D29)</f>
        <v>188000</v>
      </c>
      <c r="E30" s="160">
        <f t="shared" si="16"/>
        <v>54334</v>
      </c>
      <c r="F30" s="160">
        <f t="shared" si="16"/>
        <v>69333</v>
      </c>
      <c r="G30" s="160">
        <f t="shared" si="16"/>
        <v>69333</v>
      </c>
      <c r="H30" s="160">
        <f t="shared" si="16"/>
        <v>0</v>
      </c>
      <c r="I30" s="160">
        <f>SUM(I16:I29)</f>
        <v>0</v>
      </c>
      <c r="J30" s="160">
        <f>SUM(J16:J29)</f>
        <v>69333</v>
      </c>
      <c r="K30" s="160">
        <f t="shared" ref="K30" si="17">SUM(K16:K29)</f>
        <v>69333</v>
      </c>
      <c r="L30" s="386">
        <f>SUM(L16:L29)</f>
        <v>0</v>
      </c>
      <c r="M30" s="386">
        <f t="shared" ref="M30:N30" si="18">SUM(M16:M29)</f>
        <v>69333</v>
      </c>
      <c r="N30" s="386">
        <f t="shared" si="18"/>
        <v>69333</v>
      </c>
      <c r="O30" s="387"/>
      <c r="P30" s="386">
        <f t="shared" si="1"/>
        <v>69333</v>
      </c>
      <c r="Q30" s="388">
        <f>SUM(Q16:Q29)</f>
        <v>69333</v>
      </c>
      <c r="R30" s="388">
        <f t="shared" ref="R30:U30" si="19">SUM(R16:R29)</f>
        <v>0</v>
      </c>
      <c r="S30" s="388">
        <f t="shared" si="19"/>
        <v>54333</v>
      </c>
      <c r="T30" s="388">
        <f t="shared" si="19"/>
        <v>54333</v>
      </c>
      <c r="U30" s="388">
        <f t="shared" si="19"/>
        <v>123666</v>
      </c>
      <c r="V30" s="388">
        <f t="shared" si="8"/>
        <v>192999</v>
      </c>
      <c r="W30" s="160">
        <f t="shared" si="15"/>
        <v>193000</v>
      </c>
      <c r="X30" s="388"/>
      <c r="Y30" s="389">
        <f t="shared" ref="Y30" si="20">SUM(Y16:Y29)</f>
        <v>0</v>
      </c>
      <c r="AA30" s="390">
        <v>138666</v>
      </c>
    </row>
    <row r="31" spans="1:27">
      <c r="A31" s="298">
        <f t="shared" si="5"/>
        <v>434</v>
      </c>
      <c r="D31" s="238">
        <v>0</v>
      </c>
      <c r="L31" s="239"/>
      <c r="M31" s="239"/>
      <c r="N31" s="239">
        <f t="shared" si="0"/>
        <v>0</v>
      </c>
      <c r="O31" s="312"/>
      <c r="P31" s="239">
        <f t="shared" si="1"/>
        <v>0</v>
      </c>
      <c r="Q31" s="294"/>
      <c r="R31" s="294"/>
      <c r="S31" s="294"/>
      <c r="T31" s="294"/>
      <c r="U31" s="294"/>
      <c r="V31" s="294">
        <f t="shared" si="8"/>
        <v>0</v>
      </c>
      <c r="W31" s="62">
        <f t="shared" si="15"/>
        <v>0</v>
      </c>
      <c r="X31" s="294"/>
      <c r="Y31" s="591"/>
    </row>
    <row r="32" spans="1:27">
      <c r="A32" s="310">
        <f>A31+1</f>
        <v>435</v>
      </c>
      <c r="B32" s="310" t="s">
        <v>721</v>
      </c>
      <c r="D32" s="238">
        <v>0</v>
      </c>
      <c r="L32" s="239"/>
      <c r="M32" s="239"/>
      <c r="N32" s="239">
        <f t="shared" si="0"/>
        <v>0</v>
      </c>
      <c r="O32" s="312"/>
      <c r="P32" s="239">
        <f t="shared" si="1"/>
        <v>0</v>
      </c>
      <c r="Q32" s="294"/>
      <c r="R32" s="294"/>
      <c r="S32" s="294"/>
      <c r="T32" s="294"/>
      <c r="U32" s="294"/>
      <c r="V32" s="294">
        <f t="shared" si="8"/>
        <v>0</v>
      </c>
      <c r="W32" s="62">
        <f t="shared" si="15"/>
        <v>0</v>
      </c>
      <c r="X32" s="294"/>
      <c r="Y32" s="591"/>
    </row>
    <row r="33" spans="1:166" ht="28.5">
      <c r="A33" s="298">
        <f t="shared" si="5"/>
        <v>436</v>
      </c>
      <c r="B33" s="298" t="s">
        <v>722</v>
      </c>
      <c r="C33" s="238">
        <v>300000</v>
      </c>
      <c r="D33" s="238">
        <v>120000</v>
      </c>
      <c r="E33" s="62">
        <v>783</v>
      </c>
      <c r="F33" s="62">
        <v>61333</v>
      </c>
      <c r="G33" s="62">
        <v>35000</v>
      </c>
      <c r="H33" s="665" t="s">
        <v>723</v>
      </c>
      <c r="I33" s="62"/>
      <c r="J33" s="62">
        <v>40000</v>
      </c>
      <c r="K33" s="62">
        <f t="shared" ref="K33:K38" si="21">J33</f>
        <v>40000</v>
      </c>
      <c r="L33" s="56"/>
      <c r="M33" s="56">
        <v>40000</v>
      </c>
      <c r="N33" s="56">
        <f t="shared" si="0"/>
        <v>40000</v>
      </c>
      <c r="O33" s="312"/>
      <c r="P33" s="56">
        <f t="shared" si="1"/>
        <v>40000</v>
      </c>
      <c r="Q33" s="507">
        <v>35000</v>
      </c>
      <c r="R33" s="507"/>
      <c r="S33" s="507">
        <v>35000</v>
      </c>
      <c r="T33" s="66">
        <f t="shared" ref="T33:T38" si="22">R33+S33</f>
        <v>35000</v>
      </c>
      <c r="U33" s="66">
        <f t="shared" ref="U33:U38" si="23">Q33+T33</f>
        <v>70000</v>
      </c>
      <c r="V33" s="66">
        <f t="shared" si="8"/>
        <v>110000</v>
      </c>
      <c r="W33" s="62">
        <f t="shared" si="15"/>
        <v>75783</v>
      </c>
      <c r="X33" s="66"/>
      <c r="Y33" s="591" t="s">
        <v>724</v>
      </c>
      <c r="AA33" s="60">
        <v>70000</v>
      </c>
    </row>
    <row r="34" spans="1:166">
      <c r="A34" s="298">
        <f t="shared" si="5"/>
        <v>437</v>
      </c>
      <c r="B34" s="298" t="s">
        <v>725</v>
      </c>
      <c r="C34" s="238">
        <v>1292000</v>
      </c>
      <c r="D34" s="238">
        <v>1204486</v>
      </c>
      <c r="E34" s="62">
        <v>401495</v>
      </c>
      <c r="F34" s="62">
        <v>401495</v>
      </c>
      <c r="G34" s="62">
        <v>401495</v>
      </c>
      <c r="H34" s="62"/>
      <c r="I34" s="62"/>
      <c r="J34" s="62">
        <v>401495</v>
      </c>
      <c r="K34" s="62">
        <f t="shared" si="21"/>
        <v>401495</v>
      </c>
      <c r="L34" s="56"/>
      <c r="M34" s="56">
        <v>401495</v>
      </c>
      <c r="N34" s="56">
        <f t="shared" si="0"/>
        <v>401495</v>
      </c>
      <c r="O34" s="312"/>
      <c r="P34" s="56">
        <f t="shared" si="1"/>
        <v>401495</v>
      </c>
      <c r="Q34" s="507">
        <v>372323</v>
      </c>
      <c r="R34" s="294"/>
      <c r="S34" s="507">
        <v>372323</v>
      </c>
      <c r="T34" s="66">
        <f t="shared" si="22"/>
        <v>372323</v>
      </c>
      <c r="U34" s="66">
        <f t="shared" si="23"/>
        <v>744646</v>
      </c>
      <c r="V34" s="66">
        <f t="shared" si="8"/>
        <v>1146141</v>
      </c>
      <c r="W34" s="62">
        <f t="shared" si="15"/>
        <v>1204485</v>
      </c>
      <c r="X34" s="66" t="s">
        <v>726</v>
      </c>
      <c r="Y34" s="591"/>
      <c r="AA34" s="60">
        <v>802990</v>
      </c>
    </row>
    <row r="35" spans="1:166">
      <c r="A35" s="298">
        <f t="shared" si="5"/>
        <v>438</v>
      </c>
      <c r="B35" s="298" t="s">
        <v>727</v>
      </c>
      <c r="C35" s="238">
        <v>386369</v>
      </c>
      <c r="D35" s="238">
        <v>354120</v>
      </c>
      <c r="E35" s="62">
        <v>112910</v>
      </c>
      <c r="F35" s="62">
        <v>118040</v>
      </c>
      <c r="G35" s="62">
        <v>118040</v>
      </c>
      <c r="H35" s="62"/>
      <c r="I35" s="62"/>
      <c r="J35" s="62">
        <v>118040</v>
      </c>
      <c r="K35" s="62">
        <f t="shared" si="21"/>
        <v>118040</v>
      </c>
      <c r="L35" s="56"/>
      <c r="M35" s="56">
        <v>118040</v>
      </c>
      <c r="N35" s="56">
        <f t="shared" si="0"/>
        <v>118040</v>
      </c>
      <c r="O35" s="312"/>
      <c r="P35" s="56">
        <f t="shared" si="1"/>
        <v>118040</v>
      </c>
      <c r="Q35" s="507">
        <v>107290</v>
      </c>
      <c r="R35" s="294"/>
      <c r="S35" s="507">
        <v>107290</v>
      </c>
      <c r="T35" s="66">
        <f t="shared" si="22"/>
        <v>107290</v>
      </c>
      <c r="U35" s="66">
        <f t="shared" si="23"/>
        <v>214580</v>
      </c>
      <c r="V35" s="66">
        <f t="shared" si="8"/>
        <v>332620</v>
      </c>
      <c r="W35" s="62">
        <f t="shared" si="15"/>
        <v>348990</v>
      </c>
      <c r="X35" s="66" t="s">
        <v>726</v>
      </c>
      <c r="Y35" s="591"/>
      <c r="AA35" s="60">
        <v>236080</v>
      </c>
    </row>
    <row r="36" spans="1:166">
      <c r="A36" s="298">
        <f t="shared" si="5"/>
        <v>439</v>
      </c>
      <c r="B36" s="298" t="s">
        <v>728</v>
      </c>
      <c r="C36" s="238">
        <v>350000</v>
      </c>
      <c r="D36" s="238">
        <v>41398</v>
      </c>
      <c r="E36" s="62">
        <v>13799</v>
      </c>
      <c r="F36" s="62">
        <v>0</v>
      </c>
      <c r="G36" s="62"/>
      <c r="H36" s="62"/>
      <c r="I36" s="62"/>
      <c r="J36" s="62">
        <v>0</v>
      </c>
      <c r="K36" s="62">
        <f t="shared" si="21"/>
        <v>0</v>
      </c>
      <c r="L36" s="56"/>
      <c r="M36" s="56"/>
      <c r="N36" s="56">
        <f t="shared" si="0"/>
        <v>0</v>
      </c>
      <c r="O36" s="312"/>
      <c r="P36" s="56">
        <f t="shared" si="1"/>
        <v>0</v>
      </c>
      <c r="Q36" s="294">
        <v>0</v>
      </c>
      <c r="R36" s="294"/>
      <c r="S36" s="507">
        <v>0</v>
      </c>
      <c r="T36" s="66">
        <f t="shared" si="22"/>
        <v>0</v>
      </c>
      <c r="U36" s="66">
        <f t="shared" si="23"/>
        <v>0</v>
      </c>
      <c r="V36" s="66">
        <f t="shared" si="8"/>
        <v>0</v>
      </c>
      <c r="W36" s="62">
        <f t="shared" si="15"/>
        <v>13799</v>
      </c>
      <c r="X36" s="66"/>
      <c r="Y36" s="591" t="s">
        <v>729</v>
      </c>
      <c r="AA36" s="60">
        <v>0</v>
      </c>
    </row>
    <row r="37" spans="1:166">
      <c r="A37" s="298">
        <f t="shared" si="5"/>
        <v>440</v>
      </c>
      <c r="E37" s="62"/>
      <c r="F37" s="62"/>
      <c r="G37" s="62"/>
      <c r="H37" s="62"/>
      <c r="I37" s="62"/>
      <c r="J37" s="62"/>
      <c r="K37" s="62">
        <f t="shared" si="21"/>
        <v>0</v>
      </c>
      <c r="L37" s="56"/>
      <c r="M37" s="56"/>
      <c r="N37" s="56">
        <f t="shared" si="0"/>
        <v>0</v>
      </c>
      <c r="O37" s="312"/>
      <c r="P37" s="56">
        <f t="shared" si="1"/>
        <v>0</v>
      </c>
      <c r="Q37" s="294"/>
      <c r="R37" s="294"/>
      <c r="S37" s="294"/>
      <c r="T37" s="66">
        <f t="shared" si="22"/>
        <v>0</v>
      </c>
      <c r="U37" s="66">
        <f t="shared" si="23"/>
        <v>0</v>
      </c>
      <c r="V37" s="66">
        <f t="shared" si="8"/>
        <v>0</v>
      </c>
      <c r="W37" s="62">
        <f t="shared" si="15"/>
        <v>0</v>
      </c>
      <c r="X37" s="66"/>
      <c r="Y37" s="591"/>
      <c r="AA37" s="60">
        <v>0</v>
      </c>
    </row>
    <row r="38" spans="1:166">
      <c r="A38" s="298">
        <f t="shared" si="5"/>
        <v>441</v>
      </c>
      <c r="B38" s="298" t="s">
        <v>730</v>
      </c>
      <c r="C38" s="238">
        <v>70000</v>
      </c>
      <c r="D38" s="238">
        <v>90000</v>
      </c>
      <c r="E38" s="62">
        <v>5675</v>
      </c>
      <c r="F38" s="62">
        <v>90000</v>
      </c>
      <c r="G38" s="62">
        <v>3000</v>
      </c>
      <c r="H38" s="62" t="s">
        <v>731</v>
      </c>
      <c r="I38" s="62"/>
      <c r="J38" s="62">
        <v>67000</v>
      </c>
      <c r="K38" s="62">
        <f t="shared" si="21"/>
        <v>67000</v>
      </c>
      <c r="L38" s="56"/>
      <c r="M38" s="56">
        <v>67000</v>
      </c>
      <c r="N38" s="56">
        <f t="shared" si="0"/>
        <v>67000</v>
      </c>
      <c r="O38" s="312"/>
      <c r="P38" s="56">
        <f t="shared" si="1"/>
        <v>67000</v>
      </c>
      <c r="Q38" s="507"/>
      <c r="R38" s="507"/>
      <c r="S38" s="507"/>
      <c r="T38" s="586">
        <f t="shared" si="22"/>
        <v>0</v>
      </c>
      <c r="U38" s="66">
        <f t="shared" si="23"/>
        <v>0</v>
      </c>
      <c r="V38" s="66">
        <f t="shared" si="8"/>
        <v>67000</v>
      </c>
      <c r="W38" s="62">
        <f t="shared" si="15"/>
        <v>75675</v>
      </c>
      <c r="X38" s="586" t="s">
        <v>732</v>
      </c>
      <c r="Y38" s="591"/>
      <c r="AA38" s="60">
        <v>46666</v>
      </c>
    </row>
    <row r="39" spans="1:166" s="434" customFormat="1">
      <c r="A39" s="367">
        <f t="shared" si="5"/>
        <v>442</v>
      </c>
      <c r="B39" s="367" t="s">
        <v>733</v>
      </c>
      <c r="C39" s="160">
        <f>SUM(C33:C38)</f>
        <v>2398369</v>
      </c>
      <c r="D39" s="160">
        <f t="shared" ref="D39:N39" si="24">SUM(D33:D38)</f>
        <v>1810004</v>
      </c>
      <c r="E39" s="160">
        <f t="shared" si="24"/>
        <v>534662</v>
      </c>
      <c r="F39" s="160">
        <f t="shared" si="24"/>
        <v>670868</v>
      </c>
      <c r="G39" s="160">
        <f t="shared" si="24"/>
        <v>557535</v>
      </c>
      <c r="H39" s="160">
        <f t="shared" si="24"/>
        <v>0</v>
      </c>
      <c r="I39" s="160">
        <f t="shared" si="24"/>
        <v>0</v>
      </c>
      <c r="J39" s="160">
        <f t="shared" si="24"/>
        <v>626535</v>
      </c>
      <c r="K39" s="160">
        <f t="shared" si="24"/>
        <v>626535</v>
      </c>
      <c r="L39" s="386">
        <f t="shared" si="24"/>
        <v>0</v>
      </c>
      <c r="M39" s="386">
        <f t="shared" si="24"/>
        <v>626535</v>
      </c>
      <c r="N39" s="386">
        <f t="shared" si="24"/>
        <v>626535</v>
      </c>
      <c r="O39" s="605"/>
      <c r="P39" s="386">
        <f t="shared" si="1"/>
        <v>626535</v>
      </c>
      <c r="Q39" s="388">
        <f>SUM(Q33:Q38)</f>
        <v>514613</v>
      </c>
      <c r="R39" s="388">
        <f t="shared" ref="R39:U39" si="25">SUM(R33:R38)</f>
        <v>0</v>
      </c>
      <c r="S39" s="388">
        <f t="shared" si="25"/>
        <v>514613</v>
      </c>
      <c r="T39" s="388">
        <f t="shared" si="25"/>
        <v>514613</v>
      </c>
      <c r="U39" s="388">
        <f t="shared" si="25"/>
        <v>1029226</v>
      </c>
      <c r="V39" s="388">
        <f t="shared" si="8"/>
        <v>1655761</v>
      </c>
      <c r="W39" s="160">
        <f t="shared" si="15"/>
        <v>1718732</v>
      </c>
      <c r="X39" s="388"/>
      <c r="Y39" s="389">
        <f t="shared" ref="Y39" si="26">SUM(Y33:Y38)</f>
        <v>0</v>
      </c>
      <c r="AA39" s="390">
        <v>1155736</v>
      </c>
    </row>
    <row r="40" spans="1:166" s="529" customFormat="1">
      <c r="A40" s="525">
        <f t="shared" si="5"/>
        <v>443</v>
      </c>
      <c r="B40" s="525" t="s">
        <v>734</v>
      </c>
      <c r="C40" s="510">
        <f>C39+C30</f>
        <v>2606369</v>
      </c>
      <c r="D40" s="510">
        <f t="shared" ref="D40:N40" si="27">D39+D30</f>
        <v>1998004</v>
      </c>
      <c r="E40" s="510">
        <f t="shared" si="27"/>
        <v>588996</v>
      </c>
      <c r="F40" s="510">
        <f t="shared" si="27"/>
        <v>740201</v>
      </c>
      <c r="G40" s="510">
        <f t="shared" si="27"/>
        <v>626868</v>
      </c>
      <c r="H40" s="510">
        <f t="shared" si="27"/>
        <v>0</v>
      </c>
      <c r="I40" s="510">
        <f t="shared" si="27"/>
        <v>0</v>
      </c>
      <c r="J40" s="510">
        <f t="shared" si="27"/>
        <v>695868</v>
      </c>
      <c r="K40" s="510">
        <f t="shared" si="27"/>
        <v>695868</v>
      </c>
      <c r="L40" s="511">
        <f t="shared" si="27"/>
        <v>0</v>
      </c>
      <c r="M40" s="511">
        <f t="shared" si="27"/>
        <v>695868</v>
      </c>
      <c r="N40" s="511">
        <f t="shared" si="27"/>
        <v>695868</v>
      </c>
      <c r="O40" s="512"/>
      <c r="P40" s="511">
        <f t="shared" si="1"/>
        <v>695868</v>
      </c>
      <c r="Q40" s="545">
        <f>Q39+Q30</f>
        <v>583946</v>
      </c>
      <c r="R40" s="545">
        <f t="shared" ref="R40:U40" si="28">R39+R30</f>
        <v>0</v>
      </c>
      <c r="S40" s="545">
        <f t="shared" si="28"/>
        <v>568946</v>
      </c>
      <c r="T40" s="545">
        <f t="shared" si="28"/>
        <v>568946</v>
      </c>
      <c r="U40" s="545">
        <f t="shared" si="28"/>
        <v>1152892</v>
      </c>
      <c r="V40" s="545">
        <f t="shared" si="8"/>
        <v>1848760</v>
      </c>
      <c r="W40" s="510">
        <f t="shared" si="15"/>
        <v>1911732</v>
      </c>
      <c r="X40" s="545"/>
      <c r="Y40" s="317">
        <f t="shared" ref="Y40" si="29">Y39+Y30</f>
        <v>0</v>
      </c>
      <c r="Z40" s="434"/>
      <c r="AA40" s="515">
        <v>1294402</v>
      </c>
      <c r="AB40" s="434"/>
      <c r="AC40" s="434"/>
      <c r="AD40" s="434"/>
      <c r="AE40" s="434"/>
      <c r="AF40" s="434"/>
      <c r="AG40" s="434"/>
      <c r="AH40" s="434"/>
      <c r="AI40" s="434"/>
      <c r="AJ40" s="434"/>
      <c r="AK40" s="434"/>
      <c r="AL40" s="434"/>
      <c r="AM40" s="434"/>
      <c r="AN40" s="434"/>
      <c r="AO40" s="434"/>
      <c r="AP40" s="434"/>
      <c r="AQ40" s="434"/>
      <c r="AR40" s="434"/>
      <c r="AS40" s="434"/>
      <c r="AT40" s="434"/>
      <c r="AU40" s="434"/>
      <c r="AV40" s="434"/>
      <c r="AW40" s="434"/>
      <c r="AX40" s="434"/>
      <c r="AY40" s="434"/>
      <c r="AZ40" s="434"/>
      <c r="BA40" s="434"/>
      <c r="BB40" s="434"/>
      <c r="BC40" s="434"/>
      <c r="BD40" s="434"/>
      <c r="BE40" s="434"/>
      <c r="BF40" s="434"/>
      <c r="BG40" s="434"/>
      <c r="BH40" s="434"/>
      <c r="BI40" s="434"/>
      <c r="BJ40" s="434"/>
      <c r="BK40" s="434"/>
      <c r="BL40" s="434"/>
      <c r="BM40" s="434"/>
      <c r="BN40" s="434"/>
      <c r="BO40" s="434"/>
      <c r="BP40" s="434"/>
      <c r="BQ40" s="434"/>
      <c r="BR40" s="434"/>
      <c r="BS40" s="434"/>
      <c r="BT40" s="434"/>
      <c r="BU40" s="434"/>
      <c r="BV40" s="434"/>
      <c r="BW40" s="434"/>
      <c r="BX40" s="434"/>
      <c r="BY40" s="434"/>
      <c r="BZ40" s="434"/>
      <c r="CA40" s="434"/>
      <c r="CB40" s="434"/>
      <c r="CC40" s="434"/>
      <c r="CD40" s="434"/>
      <c r="CE40" s="434"/>
      <c r="CF40" s="434"/>
      <c r="CG40" s="434"/>
      <c r="CH40" s="434"/>
      <c r="CI40" s="434"/>
      <c r="CJ40" s="434"/>
      <c r="CK40" s="434"/>
      <c r="CL40" s="434"/>
      <c r="CM40" s="434"/>
      <c r="CN40" s="434"/>
      <c r="CO40" s="434"/>
      <c r="CP40" s="434"/>
      <c r="CQ40" s="434"/>
      <c r="CR40" s="434"/>
      <c r="CS40" s="434"/>
      <c r="CT40" s="434"/>
      <c r="CU40" s="434"/>
      <c r="CV40" s="434"/>
      <c r="CW40" s="434"/>
      <c r="CX40" s="434"/>
      <c r="CY40" s="434"/>
      <c r="CZ40" s="434"/>
      <c r="DA40" s="434"/>
      <c r="DB40" s="434"/>
      <c r="DC40" s="434"/>
      <c r="DD40" s="434"/>
      <c r="DE40" s="434"/>
      <c r="DF40" s="434"/>
      <c r="DG40" s="434"/>
      <c r="DH40" s="434"/>
      <c r="DI40" s="434"/>
      <c r="DJ40" s="434"/>
      <c r="DK40" s="434"/>
      <c r="DL40" s="434"/>
      <c r="DM40" s="434"/>
      <c r="DN40" s="434"/>
      <c r="DO40" s="434"/>
      <c r="DP40" s="434"/>
      <c r="DQ40" s="434"/>
      <c r="DR40" s="434"/>
      <c r="DS40" s="434"/>
      <c r="DT40" s="434"/>
      <c r="DU40" s="434"/>
      <c r="DV40" s="434"/>
      <c r="DW40" s="434"/>
      <c r="DX40" s="434"/>
      <c r="DY40" s="434"/>
      <c r="DZ40" s="434"/>
      <c r="EA40" s="434"/>
      <c r="EB40" s="434"/>
      <c r="EC40" s="434"/>
      <c r="ED40" s="434"/>
      <c r="EE40" s="434"/>
      <c r="EF40" s="434"/>
      <c r="EG40" s="434"/>
      <c r="EH40" s="434"/>
      <c r="EI40" s="434"/>
      <c r="EJ40" s="434"/>
      <c r="EK40" s="434"/>
      <c r="EL40" s="434"/>
      <c r="EM40" s="434"/>
      <c r="EN40" s="434"/>
      <c r="EO40" s="434"/>
      <c r="EP40" s="434"/>
      <c r="EQ40" s="434"/>
      <c r="ER40" s="434"/>
      <c r="ES40" s="434"/>
      <c r="ET40" s="434"/>
      <c r="EU40" s="434"/>
      <c r="EV40" s="434"/>
      <c r="EW40" s="434"/>
      <c r="EX40" s="434"/>
      <c r="EY40" s="434"/>
      <c r="EZ40" s="434"/>
      <c r="FA40" s="434"/>
      <c r="FB40" s="434"/>
      <c r="FC40" s="434"/>
      <c r="FD40" s="434"/>
      <c r="FE40" s="434"/>
      <c r="FF40" s="434"/>
      <c r="FG40" s="434"/>
      <c r="FH40" s="434"/>
      <c r="FI40" s="434"/>
      <c r="FJ40" s="434"/>
    </row>
    <row r="41" spans="1:166">
      <c r="A41" s="298">
        <f t="shared" si="5"/>
        <v>444</v>
      </c>
      <c r="D41" s="238">
        <v>0</v>
      </c>
      <c r="L41" s="239"/>
      <c r="M41" s="239"/>
      <c r="N41" s="239">
        <f t="shared" si="0"/>
        <v>0</v>
      </c>
      <c r="O41" s="312"/>
      <c r="P41" s="239">
        <f t="shared" si="1"/>
        <v>0</v>
      </c>
      <c r="Q41" s="422"/>
      <c r="R41" s="422"/>
      <c r="S41" s="422"/>
      <c r="T41" s="422"/>
      <c r="U41" s="422"/>
      <c r="V41" s="294">
        <f t="shared" si="8"/>
        <v>0</v>
      </c>
      <c r="X41" s="422"/>
      <c r="Y41" s="423"/>
    </row>
    <row r="42" spans="1:166" ht="15" customHeight="1">
      <c r="A42" s="310">
        <f t="shared" si="5"/>
        <v>445</v>
      </c>
      <c r="B42" s="310" t="s">
        <v>735</v>
      </c>
      <c r="D42" s="238">
        <v>0</v>
      </c>
      <c r="L42" s="239"/>
      <c r="M42" s="239"/>
      <c r="N42" s="239">
        <f t="shared" si="0"/>
        <v>0</v>
      </c>
      <c r="O42" s="312"/>
      <c r="P42" s="239">
        <f t="shared" si="1"/>
        <v>0</v>
      </c>
      <c r="Q42" s="422"/>
      <c r="R42" s="422"/>
      <c r="S42" s="422"/>
      <c r="T42" s="422"/>
      <c r="U42" s="422"/>
      <c r="V42" s="294">
        <f t="shared" si="8"/>
        <v>0</v>
      </c>
      <c r="X42" s="422"/>
      <c r="Y42" s="423"/>
    </row>
    <row r="43" spans="1:166" ht="15" customHeight="1">
      <c r="A43" s="310"/>
      <c r="B43" s="310"/>
      <c r="L43" s="239"/>
      <c r="M43" s="239"/>
      <c r="N43" s="239">
        <f t="shared" si="0"/>
        <v>0</v>
      </c>
      <c r="O43" s="312"/>
      <c r="P43" s="239">
        <f t="shared" si="1"/>
        <v>0</v>
      </c>
      <c r="Q43" s="422"/>
      <c r="R43" s="422"/>
      <c r="S43" s="422"/>
      <c r="T43" s="422"/>
      <c r="U43" s="422"/>
      <c r="V43" s="294">
        <f t="shared" si="8"/>
        <v>0</v>
      </c>
      <c r="X43" s="422"/>
      <c r="Y43" s="423"/>
    </row>
    <row r="44" spans="1:166" ht="23.55" customHeight="1">
      <c r="A44" s="298">
        <f>A42+1</f>
        <v>446</v>
      </c>
      <c r="B44" s="298" t="s">
        <v>736</v>
      </c>
      <c r="C44" s="238">
        <f>30000-5000</f>
        <v>25000</v>
      </c>
      <c r="D44" s="238">
        <v>10000</v>
      </c>
      <c r="E44" s="62"/>
      <c r="F44" s="62">
        <v>3333</v>
      </c>
      <c r="G44" s="62">
        <v>3333</v>
      </c>
      <c r="H44" s="62"/>
      <c r="I44" s="62"/>
      <c r="J44" s="62">
        <v>3333</v>
      </c>
      <c r="K44" s="62">
        <f t="shared" ref="K44:K46" si="30">J44</f>
        <v>3333</v>
      </c>
      <c r="L44" s="56"/>
      <c r="M44" s="56">
        <v>3333</v>
      </c>
      <c r="N44" s="56">
        <f t="shared" si="0"/>
        <v>3333</v>
      </c>
      <c r="O44" s="332"/>
      <c r="P44" s="56">
        <f t="shared" si="1"/>
        <v>3333</v>
      </c>
      <c r="Q44" s="294">
        <v>3333</v>
      </c>
      <c r="R44" s="294"/>
      <c r="S44" s="294">
        <v>3333</v>
      </c>
      <c r="T44" s="66">
        <f t="shared" ref="T44:T46" si="31">R44+S44</f>
        <v>3333</v>
      </c>
      <c r="U44" s="66">
        <f>Q44+T44</f>
        <v>6666</v>
      </c>
      <c r="V44" s="66">
        <f t="shared" si="8"/>
        <v>9999</v>
      </c>
      <c r="W44" s="62">
        <f>E44+G44+K44</f>
        <v>6666</v>
      </c>
      <c r="X44" s="66"/>
      <c r="Y44" s="591" t="s">
        <v>737</v>
      </c>
      <c r="AA44" s="60">
        <v>6666</v>
      </c>
    </row>
    <row r="45" spans="1:166">
      <c r="A45" s="298">
        <f t="shared" si="5"/>
        <v>447</v>
      </c>
      <c r="B45" s="298" t="s">
        <v>738</v>
      </c>
      <c r="C45" s="238">
        <f>20000-5000</f>
        <v>15000</v>
      </c>
      <c r="D45" s="238">
        <v>0</v>
      </c>
      <c r="E45" s="62"/>
      <c r="F45" s="62"/>
      <c r="G45" s="62"/>
      <c r="H45" s="62"/>
      <c r="I45" s="62"/>
      <c r="J45" s="62"/>
      <c r="K45" s="62">
        <f t="shared" si="30"/>
        <v>0</v>
      </c>
      <c r="L45" s="56"/>
      <c r="M45" s="56"/>
      <c r="N45" s="56">
        <f t="shared" si="0"/>
        <v>0</v>
      </c>
      <c r="O45" s="332"/>
      <c r="P45" s="56">
        <f t="shared" si="1"/>
        <v>0</v>
      </c>
      <c r="Q45" s="294"/>
      <c r="R45" s="294"/>
      <c r="S45" s="294"/>
      <c r="T45" s="66">
        <f t="shared" si="31"/>
        <v>0</v>
      </c>
      <c r="U45" s="66">
        <f>Q45+T45</f>
        <v>0</v>
      </c>
      <c r="V45" s="66">
        <f t="shared" si="8"/>
        <v>0</v>
      </c>
      <c r="W45" s="62">
        <f>E45+G45+K45</f>
        <v>0</v>
      </c>
      <c r="X45" s="66"/>
      <c r="Y45" s="591"/>
      <c r="AA45" s="60">
        <v>0</v>
      </c>
    </row>
    <row r="46" spans="1:166" ht="28.5">
      <c r="A46" s="298">
        <f t="shared" si="5"/>
        <v>448</v>
      </c>
      <c r="B46" s="298" t="s">
        <v>739</v>
      </c>
      <c r="C46" s="238">
        <v>0</v>
      </c>
      <c r="D46" s="238">
        <v>75000</v>
      </c>
      <c r="E46" s="62">
        <v>22539</v>
      </c>
      <c r="F46" s="62">
        <v>37000</v>
      </c>
      <c r="G46" s="62">
        <v>0</v>
      </c>
      <c r="H46" s="68" t="s">
        <v>740</v>
      </c>
      <c r="I46" s="62"/>
      <c r="J46" s="62">
        <v>20000</v>
      </c>
      <c r="K46" s="62">
        <f t="shared" si="30"/>
        <v>20000</v>
      </c>
      <c r="L46" s="56"/>
      <c r="M46" s="56">
        <v>20000</v>
      </c>
      <c r="N46" s="56">
        <f t="shared" si="0"/>
        <v>20000</v>
      </c>
      <c r="O46" s="312"/>
      <c r="P46" s="56">
        <f t="shared" si="1"/>
        <v>20000</v>
      </c>
      <c r="Q46" s="534">
        <v>18000</v>
      </c>
      <c r="R46" s="534"/>
      <c r="S46" s="534">
        <v>18000</v>
      </c>
      <c r="T46" s="66">
        <f t="shared" si="31"/>
        <v>18000</v>
      </c>
      <c r="U46" s="66">
        <f>Q46+T46</f>
        <v>36000</v>
      </c>
      <c r="V46" s="66">
        <f t="shared" si="8"/>
        <v>56000</v>
      </c>
      <c r="W46" s="62">
        <f>E46+G46+K46</f>
        <v>42539</v>
      </c>
      <c r="X46" s="66"/>
      <c r="Y46" s="591" t="s">
        <v>741</v>
      </c>
      <c r="AA46" s="60">
        <v>36000</v>
      </c>
    </row>
    <row r="47" spans="1:166">
      <c r="A47" s="667">
        <f t="shared" si="5"/>
        <v>449</v>
      </c>
      <c r="B47" s="667" t="s">
        <v>742</v>
      </c>
      <c r="C47" s="668">
        <f>SUM(C44:C46)</f>
        <v>40000</v>
      </c>
      <c r="D47" s="668">
        <v>85000</v>
      </c>
      <c r="E47" s="668">
        <f t="shared" ref="E47:N47" si="32">SUM(E44:E46)</f>
        <v>22539</v>
      </c>
      <c r="F47" s="668">
        <f t="shared" si="32"/>
        <v>40333</v>
      </c>
      <c r="G47" s="668">
        <f t="shared" si="32"/>
        <v>3333</v>
      </c>
      <c r="H47" s="668"/>
      <c r="I47" s="668">
        <f t="shared" si="32"/>
        <v>0</v>
      </c>
      <c r="J47" s="668">
        <f t="shared" si="32"/>
        <v>23333</v>
      </c>
      <c r="K47" s="668">
        <f t="shared" si="32"/>
        <v>23333</v>
      </c>
      <c r="L47" s="669">
        <f t="shared" si="32"/>
        <v>0</v>
      </c>
      <c r="M47" s="669">
        <f t="shared" si="32"/>
        <v>23333</v>
      </c>
      <c r="N47" s="669">
        <f t="shared" si="32"/>
        <v>23333</v>
      </c>
      <c r="O47" s="670"/>
      <c r="P47" s="669">
        <f t="shared" si="1"/>
        <v>23333</v>
      </c>
      <c r="Q47" s="671">
        <f>SUM(Q44:Q46)</f>
        <v>21333</v>
      </c>
      <c r="R47" s="671">
        <f t="shared" ref="R47:U47" si="33">SUM(R44:R46)</f>
        <v>0</v>
      </c>
      <c r="S47" s="671">
        <f t="shared" si="33"/>
        <v>21333</v>
      </c>
      <c r="T47" s="671">
        <f t="shared" si="33"/>
        <v>21333</v>
      </c>
      <c r="U47" s="671">
        <f t="shared" si="33"/>
        <v>42666</v>
      </c>
      <c r="V47" s="671">
        <f t="shared" si="8"/>
        <v>65999</v>
      </c>
      <c r="W47" s="668">
        <f>E47+G47+K47</f>
        <v>49205</v>
      </c>
      <c r="X47" s="671"/>
      <c r="Y47" s="672">
        <f t="shared" ref="Y47" si="34">SUM(Y44:Y46)</f>
        <v>0</v>
      </c>
      <c r="AA47" s="673">
        <v>42666</v>
      </c>
    </row>
    <row r="48" spans="1:166">
      <c r="A48" s="298">
        <f t="shared" si="5"/>
        <v>450</v>
      </c>
      <c r="L48" s="239"/>
      <c r="M48" s="239"/>
      <c r="N48" s="239">
        <f t="shared" si="0"/>
        <v>0</v>
      </c>
      <c r="O48" s="312"/>
      <c r="P48" s="239">
        <f t="shared" si="1"/>
        <v>0</v>
      </c>
      <c r="Q48" s="422"/>
      <c r="R48" s="422"/>
      <c r="S48" s="422"/>
      <c r="T48" s="422"/>
      <c r="U48" s="422"/>
      <c r="V48" s="294">
        <f t="shared" si="8"/>
        <v>0</v>
      </c>
      <c r="X48" s="422"/>
      <c r="Y48" s="423"/>
    </row>
    <row r="49" spans="1:27">
      <c r="A49" s="531">
        <f t="shared" si="5"/>
        <v>451</v>
      </c>
      <c r="B49" s="531" t="s">
        <v>743</v>
      </c>
      <c r="L49" s="239"/>
      <c r="M49" s="239"/>
      <c r="N49" s="239">
        <f t="shared" si="0"/>
        <v>0</v>
      </c>
      <c r="O49" s="312"/>
      <c r="P49" s="239">
        <f t="shared" si="1"/>
        <v>0</v>
      </c>
      <c r="Q49" s="422"/>
      <c r="R49" s="422"/>
      <c r="S49" s="422"/>
      <c r="T49" s="422"/>
      <c r="U49" s="422"/>
      <c r="V49" s="294">
        <f t="shared" si="8"/>
        <v>0</v>
      </c>
      <c r="X49" s="422"/>
      <c r="Y49" s="423"/>
    </row>
    <row r="50" spans="1:27">
      <c r="A50" s="276">
        <f t="shared" si="5"/>
        <v>452</v>
      </c>
      <c r="B50" s="674" t="s">
        <v>744</v>
      </c>
      <c r="C50" s="238">
        <v>91381</v>
      </c>
      <c r="L50" s="239"/>
      <c r="M50" s="239"/>
      <c r="N50" s="239">
        <f t="shared" si="0"/>
        <v>0</v>
      </c>
      <c r="O50" s="312"/>
      <c r="P50" s="239">
        <f t="shared" si="1"/>
        <v>0</v>
      </c>
      <c r="Q50" s="422"/>
      <c r="R50" s="422"/>
      <c r="S50" s="422"/>
      <c r="T50" s="422"/>
      <c r="U50" s="422"/>
      <c r="V50" s="294">
        <f t="shared" si="8"/>
        <v>0</v>
      </c>
      <c r="X50" s="422"/>
      <c r="Y50" s="423"/>
    </row>
    <row r="51" spans="1:27">
      <c r="A51" s="276">
        <f>A50+1</f>
        <v>453</v>
      </c>
      <c r="B51" s="674" t="s">
        <v>745</v>
      </c>
      <c r="C51" s="238">
        <v>212285</v>
      </c>
      <c r="D51" s="238">
        <v>339000</v>
      </c>
      <c r="L51" s="239"/>
      <c r="M51" s="239"/>
      <c r="N51" s="239">
        <f t="shared" si="0"/>
        <v>0</v>
      </c>
      <c r="O51" s="312"/>
      <c r="P51" s="239">
        <f t="shared" si="1"/>
        <v>0</v>
      </c>
      <c r="Q51" s="422"/>
      <c r="R51" s="422"/>
      <c r="S51" s="422"/>
      <c r="T51" s="422"/>
      <c r="U51" s="422"/>
      <c r="V51" s="294">
        <f t="shared" si="8"/>
        <v>0</v>
      </c>
      <c r="X51" s="422"/>
      <c r="Y51" s="423"/>
    </row>
    <row r="52" spans="1:27" ht="19.899999999999999" customHeight="1">
      <c r="A52" s="276">
        <f>A51+1</f>
        <v>454</v>
      </c>
      <c r="B52" s="276" t="s">
        <v>470</v>
      </c>
      <c r="D52" s="238">
        <v>0</v>
      </c>
      <c r="E52" s="238">
        <f>724360-E54-E55-E56</f>
        <v>61751</v>
      </c>
      <c r="F52" s="238">
        <v>70000</v>
      </c>
      <c r="G52" s="238">
        <v>32000</v>
      </c>
      <c r="H52" s="300" t="s">
        <v>746</v>
      </c>
      <c r="I52" s="238">
        <v>10114</v>
      </c>
      <c r="J52" s="238">
        <v>45000</v>
      </c>
      <c r="K52" s="62">
        <f t="shared" ref="K52" si="35">J52</f>
        <v>45000</v>
      </c>
      <c r="L52" s="239">
        <v>10114</v>
      </c>
      <c r="M52" s="239">
        <v>48000</v>
      </c>
      <c r="N52" s="239">
        <f t="shared" si="0"/>
        <v>58114</v>
      </c>
      <c r="O52" s="675" t="s">
        <v>747</v>
      </c>
      <c r="P52" s="239">
        <f t="shared" si="1"/>
        <v>58114</v>
      </c>
      <c r="Q52" s="664">
        <f>45000+4500</f>
        <v>49500</v>
      </c>
      <c r="R52" s="664">
        <v>12000</v>
      </c>
      <c r="S52" s="664">
        <f>45000+4500</f>
        <v>49500</v>
      </c>
      <c r="T52" s="66">
        <f t="shared" ref="T52:T57" si="36">R52+S52</f>
        <v>61500</v>
      </c>
      <c r="U52" s="66">
        <f t="shared" ref="U52:U57" si="37">Q52+T52</f>
        <v>111000</v>
      </c>
      <c r="V52" s="66">
        <f t="shared" si="8"/>
        <v>169114</v>
      </c>
      <c r="W52" s="238">
        <f t="shared" ref="W52:W58" si="38">E52+G52+K52</f>
        <v>138751</v>
      </c>
      <c r="X52" s="66"/>
      <c r="Y52" s="423" t="s">
        <v>748</v>
      </c>
      <c r="AA52" s="346">
        <v>102000</v>
      </c>
    </row>
    <row r="53" spans="1:27">
      <c r="A53" s="676" t="s">
        <v>749</v>
      </c>
      <c r="B53" s="276" t="s">
        <v>188</v>
      </c>
      <c r="H53" s="300"/>
      <c r="K53" s="238">
        <f>I58</f>
        <v>10114</v>
      </c>
      <c r="L53" s="239"/>
      <c r="M53" s="239"/>
      <c r="N53" s="239">
        <f t="shared" si="0"/>
        <v>0</v>
      </c>
      <c r="O53" s="677"/>
      <c r="P53" s="239">
        <f t="shared" si="1"/>
        <v>0</v>
      </c>
      <c r="Q53" s="294"/>
      <c r="R53" s="294"/>
      <c r="S53" s="294"/>
      <c r="T53" s="66">
        <f t="shared" si="36"/>
        <v>0</v>
      </c>
      <c r="U53" s="66">
        <f t="shared" si="37"/>
        <v>0</v>
      </c>
      <c r="V53" s="66">
        <f t="shared" si="8"/>
        <v>0</v>
      </c>
      <c r="W53" s="238">
        <f t="shared" si="38"/>
        <v>10114</v>
      </c>
      <c r="X53" s="66"/>
      <c r="Y53" s="423"/>
      <c r="AA53" s="346">
        <v>0</v>
      </c>
    </row>
    <row r="54" spans="1:27" ht="79.150000000000006" customHeight="1">
      <c r="A54" s="276">
        <f>A56+1</f>
        <v>457</v>
      </c>
      <c r="B54" s="276" t="s">
        <v>750</v>
      </c>
      <c r="D54" s="238">
        <v>0</v>
      </c>
      <c r="E54" s="238">
        <v>233672</v>
      </c>
      <c r="F54" s="238">
        <f>'[3]Salary Summary 19 for 2019-2021'!L36</f>
        <v>257950.09814213603</v>
      </c>
      <c r="G54" s="238">
        <v>257950.09814213603</v>
      </c>
      <c r="H54" s="238">
        <f>E54+F54+J54</f>
        <v>754859.03884319938</v>
      </c>
      <c r="J54" s="238">
        <f>'[3]Salary Summary 20 for 2019-2021'!P36</f>
        <v>263236.94070106337</v>
      </c>
      <c r="K54" s="62">
        <f t="shared" ref="K54:K56" si="39">J54</f>
        <v>263236.94070106337</v>
      </c>
      <c r="L54" s="239"/>
      <c r="M54" s="239">
        <f>'Salary Summary 21 for 2022-2024'!M37</f>
        <v>271529.61833933793</v>
      </c>
      <c r="N54" s="239">
        <f t="shared" si="0"/>
        <v>271529.61833933793</v>
      </c>
      <c r="O54" s="677" t="s">
        <v>751</v>
      </c>
      <c r="P54" s="239">
        <f t="shared" si="1"/>
        <v>271529.61833933793</v>
      </c>
      <c r="Q54" s="294">
        <v>284650.73611936811</v>
      </c>
      <c r="R54" s="294"/>
      <c r="S54" s="294">
        <v>294060.43252594682</v>
      </c>
      <c r="T54" s="66">
        <f t="shared" si="36"/>
        <v>294060.43252594682</v>
      </c>
      <c r="U54" s="66">
        <f t="shared" si="37"/>
        <v>578711.16864531487</v>
      </c>
      <c r="V54" s="66">
        <f t="shared" si="8"/>
        <v>850240.78698465275</v>
      </c>
      <c r="W54" s="238">
        <f t="shared" si="38"/>
        <v>754859.03884319938</v>
      </c>
      <c r="X54" s="66"/>
      <c r="Y54" s="423" t="s">
        <v>751</v>
      </c>
      <c r="AA54" s="346">
        <v>578711.16864531487</v>
      </c>
    </row>
    <row r="55" spans="1:27">
      <c r="A55" s="276">
        <f>A52+1</f>
        <v>455</v>
      </c>
      <c r="B55" s="276" t="s">
        <v>752</v>
      </c>
      <c r="C55" s="238">
        <v>417933</v>
      </c>
      <c r="D55" s="238">
        <v>417933</v>
      </c>
      <c r="E55" s="238">
        <v>132290</v>
      </c>
      <c r="F55" s="238">
        <v>139311</v>
      </c>
      <c r="G55" s="238">
        <v>110000</v>
      </c>
      <c r="J55" s="238">
        <v>120000</v>
      </c>
      <c r="K55" s="62">
        <f t="shared" si="39"/>
        <v>120000</v>
      </c>
      <c r="L55" s="239"/>
      <c r="M55" s="239">
        <v>125000</v>
      </c>
      <c r="N55" s="239">
        <f t="shared" si="0"/>
        <v>125000</v>
      </c>
      <c r="O55" s="312"/>
      <c r="P55" s="239">
        <f t="shared" si="1"/>
        <v>125000</v>
      </c>
      <c r="Q55" s="294">
        <v>130000</v>
      </c>
      <c r="R55" s="294"/>
      <c r="S55" s="294">
        <v>130000</v>
      </c>
      <c r="T55" s="66">
        <f t="shared" si="36"/>
        <v>130000</v>
      </c>
      <c r="U55" s="66">
        <f t="shared" si="37"/>
        <v>260000</v>
      </c>
      <c r="V55" s="66">
        <f t="shared" si="8"/>
        <v>385000</v>
      </c>
      <c r="W55" s="238">
        <f t="shared" si="38"/>
        <v>362290</v>
      </c>
      <c r="X55" s="66"/>
      <c r="Y55" s="423"/>
      <c r="AA55" s="346">
        <v>260000</v>
      </c>
    </row>
    <row r="56" spans="1:27">
      <c r="A56" s="276">
        <f t="shared" si="5"/>
        <v>456</v>
      </c>
      <c r="B56" s="276" t="s">
        <v>753</v>
      </c>
      <c r="C56" s="238">
        <f>'[4]Salary Summary GC Adopted'!Y31</f>
        <v>712088.5979476379</v>
      </c>
      <c r="D56" s="238">
        <v>800601.75645007158</v>
      </c>
      <c r="E56" s="238">
        <v>296647</v>
      </c>
      <c r="F56" s="238">
        <f>'[3]Salary Summary 19 for 2019-2021'!L35</f>
        <v>263669.04143536004</v>
      </c>
      <c r="G56" s="238">
        <v>263669.04143536004</v>
      </c>
      <c r="J56" s="238">
        <f>'[3]Salary Summary 20 for 2019-2021'!P35</f>
        <v>270674.34031621012</v>
      </c>
      <c r="K56" s="62">
        <f t="shared" si="39"/>
        <v>270674.34031621012</v>
      </c>
      <c r="L56" s="239"/>
      <c r="M56" s="239">
        <f>'Salary Summary 21 for 2022-2024'!M36</f>
        <v>261130.01152022142</v>
      </c>
      <c r="N56" s="239">
        <f t="shared" si="0"/>
        <v>261130.01152022142</v>
      </c>
      <c r="O56" s="312" t="s">
        <v>754</v>
      </c>
      <c r="P56" s="239">
        <f t="shared" si="1"/>
        <v>261130.01152022142</v>
      </c>
      <c r="Q56" s="294">
        <f>'[5]Salary Summary 21 for 2022-2024'!P35</f>
        <v>292344.4496526384</v>
      </c>
      <c r="R56" s="294"/>
      <c r="S56" s="294">
        <f>'[5]Salary Summary 21 for 2022-2024'!T35</f>
        <v>301760.07075458427</v>
      </c>
      <c r="T56" s="66">
        <f t="shared" si="36"/>
        <v>301760.07075458427</v>
      </c>
      <c r="U56" s="66">
        <f t="shared" si="37"/>
        <v>594104.52040722268</v>
      </c>
      <c r="V56" s="66">
        <f t="shared" si="8"/>
        <v>855234.53192744404</v>
      </c>
      <c r="W56" s="238">
        <f t="shared" si="38"/>
        <v>830990.38175157015</v>
      </c>
      <c r="X56" s="66"/>
      <c r="Y56" s="423" t="s">
        <v>754</v>
      </c>
      <c r="AA56" s="346">
        <v>594104.52040722268</v>
      </c>
    </row>
    <row r="57" spans="1:27">
      <c r="A57" s="276">
        <f>A54+1</f>
        <v>458</v>
      </c>
      <c r="B57" s="674" t="s">
        <v>755</v>
      </c>
      <c r="C57" s="238">
        <v>175000</v>
      </c>
      <c r="D57" s="238">
        <v>0</v>
      </c>
      <c r="L57" s="239"/>
      <c r="M57" s="678" t="s">
        <v>756</v>
      </c>
      <c r="N57" s="239"/>
      <c r="O57" s="312"/>
      <c r="P57" s="239">
        <f t="shared" si="1"/>
        <v>0</v>
      </c>
      <c r="Q57" s="294"/>
      <c r="R57" s="294"/>
      <c r="S57" s="294"/>
      <c r="T57" s="66">
        <f t="shared" si="36"/>
        <v>0</v>
      </c>
      <c r="U57" s="66">
        <f t="shared" si="37"/>
        <v>0</v>
      </c>
      <c r="V57" s="66">
        <f t="shared" si="8"/>
        <v>0</v>
      </c>
      <c r="W57" s="238">
        <f t="shared" si="38"/>
        <v>0</v>
      </c>
      <c r="X57" s="66"/>
      <c r="Y57" s="423"/>
      <c r="AA57" s="346">
        <v>0</v>
      </c>
    </row>
    <row r="58" spans="1:27" s="434" customFormat="1">
      <c r="A58" s="535">
        <f t="shared" si="5"/>
        <v>459</v>
      </c>
      <c r="B58" s="535" t="s">
        <v>757</v>
      </c>
      <c r="C58" s="510">
        <f>SUM(C50:C57)</f>
        <v>1608687.597947638</v>
      </c>
      <c r="D58" s="510">
        <v>1557534.7564500715</v>
      </c>
      <c r="E58" s="510">
        <f t="shared" ref="E58:N58" si="40">SUM(E50:E57)</f>
        <v>724360</v>
      </c>
      <c r="F58" s="510">
        <f t="shared" si="40"/>
        <v>730930.1395774961</v>
      </c>
      <c r="G58" s="510">
        <f t="shared" si="40"/>
        <v>663619.1395774961</v>
      </c>
      <c r="H58" s="510"/>
      <c r="I58" s="510">
        <f t="shared" si="40"/>
        <v>10114</v>
      </c>
      <c r="J58" s="510">
        <f t="shared" si="40"/>
        <v>698911.28101727343</v>
      </c>
      <c r="K58" s="510">
        <f t="shared" si="40"/>
        <v>709025.28101727343</v>
      </c>
      <c r="L58" s="511">
        <f t="shared" si="40"/>
        <v>10114</v>
      </c>
      <c r="M58" s="511">
        <f t="shared" si="40"/>
        <v>705659.62985955935</v>
      </c>
      <c r="N58" s="511">
        <f t="shared" si="40"/>
        <v>715773.62985955935</v>
      </c>
      <c r="O58" s="512"/>
      <c r="P58" s="511">
        <f t="shared" si="1"/>
        <v>715773.62985955935</v>
      </c>
      <c r="Q58" s="545">
        <f>SUM(Q50:Q57)</f>
        <v>756495.18577200652</v>
      </c>
      <c r="R58" s="545">
        <f t="shared" ref="R58:U58" si="41">SUM(R50:R57)</f>
        <v>12000</v>
      </c>
      <c r="S58" s="545">
        <f t="shared" si="41"/>
        <v>775320.50328053115</v>
      </c>
      <c r="T58" s="545">
        <f t="shared" si="41"/>
        <v>787320.50328053115</v>
      </c>
      <c r="U58" s="545">
        <f t="shared" si="41"/>
        <v>1543815.6890525375</v>
      </c>
      <c r="V58" s="545">
        <f t="shared" si="8"/>
        <v>2259589.3189120968</v>
      </c>
      <c r="W58" s="510">
        <f t="shared" si="38"/>
        <v>2097004.4205947695</v>
      </c>
      <c r="X58" s="545"/>
      <c r="Y58" s="317">
        <f t="shared" ref="Y58" si="42">SUM(Y50:Y57)</f>
        <v>0</v>
      </c>
      <c r="AA58" s="515">
        <v>1534815.6890525375</v>
      </c>
    </row>
    <row r="59" spans="1:27">
      <c r="A59" s="276">
        <f t="shared" si="5"/>
        <v>460</v>
      </c>
      <c r="B59" s="276"/>
      <c r="L59" s="239"/>
      <c r="M59" s="239"/>
      <c r="N59" s="239">
        <f t="shared" si="0"/>
        <v>0</v>
      </c>
      <c r="O59" s="312"/>
      <c r="P59" s="239">
        <f t="shared" si="1"/>
        <v>0</v>
      </c>
      <c r="Q59" s="294"/>
      <c r="R59" s="294"/>
      <c r="S59" s="294"/>
      <c r="T59" s="294"/>
      <c r="U59" s="294"/>
      <c r="V59" s="294">
        <f t="shared" si="8"/>
        <v>0</v>
      </c>
      <c r="X59" s="294"/>
      <c r="Y59" s="423"/>
    </row>
    <row r="60" spans="1:27">
      <c r="A60" s="276">
        <f t="shared" si="5"/>
        <v>461</v>
      </c>
      <c r="B60" s="531" t="s">
        <v>758</v>
      </c>
      <c r="L60" s="239"/>
      <c r="M60" s="239"/>
      <c r="N60" s="239">
        <f t="shared" si="0"/>
        <v>0</v>
      </c>
      <c r="O60" s="312"/>
      <c r="P60" s="239">
        <f t="shared" si="1"/>
        <v>0</v>
      </c>
      <c r="Q60" s="294"/>
      <c r="R60" s="294"/>
      <c r="S60" s="294"/>
      <c r="T60" s="294"/>
      <c r="U60" s="294"/>
      <c r="V60" s="294">
        <f t="shared" si="8"/>
        <v>0</v>
      </c>
      <c r="X60" s="294"/>
      <c r="Y60" s="423"/>
    </row>
    <row r="61" spans="1:27">
      <c r="A61" s="276">
        <f t="shared" si="5"/>
        <v>462</v>
      </c>
      <c r="B61" s="276" t="s">
        <v>759</v>
      </c>
      <c r="C61" s="238">
        <v>108100</v>
      </c>
      <c r="D61" s="238">
        <v>270000</v>
      </c>
      <c r="F61" s="238">
        <v>90000</v>
      </c>
      <c r="G61" s="238">
        <v>70000</v>
      </c>
      <c r="J61" s="238">
        <v>90000</v>
      </c>
      <c r="K61" s="238">
        <f>J61</f>
        <v>90000</v>
      </c>
      <c r="L61" s="239"/>
      <c r="M61" s="239">
        <v>90000</v>
      </c>
      <c r="N61" s="239">
        <f t="shared" si="0"/>
        <v>90000</v>
      </c>
      <c r="O61" s="312"/>
      <c r="P61" s="239">
        <f t="shared" si="1"/>
        <v>90000</v>
      </c>
      <c r="Q61" s="534">
        <v>90000</v>
      </c>
      <c r="R61" s="534"/>
      <c r="S61" s="534">
        <v>90000</v>
      </c>
      <c r="T61" s="66">
        <f t="shared" ref="T61:T63" si="43">R61+S61</f>
        <v>90000</v>
      </c>
      <c r="U61" s="66">
        <f>Q61+T61</f>
        <v>180000</v>
      </c>
      <c r="V61" s="66">
        <f t="shared" si="8"/>
        <v>270000</v>
      </c>
      <c r="X61" s="66"/>
      <c r="Y61" s="423"/>
      <c r="AA61" s="346">
        <v>180000</v>
      </c>
    </row>
    <row r="62" spans="1:27">
      <c r="A62" s="276">
        <f t="shared" si="5"/>
        <v>463</v>
      </c>
      <c r="B62" s="276" t="s">
        <v>760</v>
      </c>
      <c r="C62" s="238">
        <v>100000</v>
      </c>
      <c r="D62" s="238">
        <v>510000</v>
      </c>
      <c r="F62" s="238">
        <v>170000</v>
      </c>
      <c r="G62" s="238">
        <v>120000</v>
      </c>
      <c r="J62" s="238">
        <v>150000</v>
      </c>
      <c r="K62" s="238">
        <f t="shared" ref="K62:K65" si="44">J62</f>
        <v>150000</v>
      </c>
      <c r="L62" s="239"/>
      <c r="M62" s="239">
        <v>150000</v>
      </c>
      <c r="N62" s="239">
        <f t="shared" si="0"/>
        <v>150000</v>
      </c>
      <c r="O62" s="312"/>
      <c r="P62" s="239">
        <f t="shared" si="1"/>
        <v>150000</v>
      </c>
      <c r="Q62" s="534">
        <v>160000</v>
      </c>
      <c r="R62" s="534"/>
      <c r="S62" s="534">
        <v>160000</v>
      </c>
      <c r="T62" s="66">
        <f t="shared" si="43"/>
        <v>160000</v>
      </c>
      <c r="U62" s="66">
        <f>Q62+T62</f>
        <v>320000</v>
      </c>
      <c r="V62" s="66">
        <f t="shared" si="8"/>
        <v>470000</v>
      </c>
      <c r="X62" s="66"/>
      <c r="Y62" s="423"/>
      <c r="AA62" s="346">
        <v>320000</v>
      </c>
    </row>
    <row r="63" spans="1:27">
      <c r="A63" s="276">
        <f t="shared" si="5"/>
        <v>464</v>
      </c>
      <c r="B63" s="276" t="s">
        <v>761</v>
      </c>
      <c r="C63" s="238">
        <v>1096000</v>
      </c>
      <c r="D63" s="238">
        <v>480000</v>
      </c>
      <c r="F63" s="238">
        <v>160000</v>
      </c>
      <c r="G63" s="238">
        <v>100000</v>
      </c>
      <c r="H63" s="679" t="s">
        <v>762</v>
      </c>
      <c r="J63" s="238">
        <v>160000</v>
      </c>
      <c r="K63" s="238">
        <f t="shared" si="44"/>
        <v>160000</v>
      </c>
      <c r="L63" s="239"/>
      <c r="M63" s="239">
        <v>160000</v>
      </c>
      <c r="N63" s="239">
        <f t="shared" si="0"/>
        <v>160000</v>
      </c>
      <c r="O63" s="312"/>
      <c r="P63" s="239">
        <f t="shared" si="1"/>
        <v>160000</v>
      </c>
      <c r="Q63" s="534">
        <v>150000</v>
      </c>
      <c r="R63" s="534"/>
      <c r="S63" s="534">
        <v>150000</v>
      </c>
      <c r="T63" s="66">
        <f t="shared" si="43"/>
        <v>150000</v>
      </c>
      <c r="U63" s="66">
        <f>Q63+T63</f>
        <v>300000</v>
      </c>
      <c r="V63" s="66">
        <f t="shared" si="8"/>
        <v>460000</v>
      </c>
      <c r="X63" s="66"/>
      <c r="Y63" s="423"/>
      <c r="AA63" s="346">
        <v>300000</v>
      </c>
    </row>
    <row r="64" spans="1:27" ht="73.150000000000006" customHeight="1">
      <c r="A64" s="276">
        <f t="shared" si="5"/>
        <v>465</v>
      </c>
      <c r="B64" s="276" t="s">
        <v>447</v>
      </c>
      <c r="C64" s="238">
        <v>156841</v>
      </c>
      <c r="D64" s="238">
        <v>260000</v>
      </c>
      <c r="F64" s="238">
        <v>86667</v>
      </c>
      <c r="G64" s="238">
        <v>35000</v>
      </c>
      <c r="I64" s="238">
        <v>25000</v>
      </c>
      <c r="J64" s="238">
        <v>70000</v>
      </c>
      <c r="K64" s="238">
        <f t="shared" si="44"/>
        <v>70000</v>
      </c>
      <c r="L64" s="239">
        <v>25000</v>
      </c>
      <c r="M64" s="239">
        <v>45000</v>
      </c>
      <c r="N64" s="239">
        <f t="shared" si="0"/>
        <v>70000</v>
      </c>
      <c r="O64" s="312"/>
      <c r="P64" s="239">
        <f t="shared" si="1"/>
        <v>70000</v>
      </c>
      <c r="Q64" s="534">
        <v>83000</v>
      </c>
      <c r="R64" s="534">
        <v>20000</v>
      </c>
      <c r="S64" s="534">
        <v>63000</v>
      </c>
      <c r="T64" s="66">
        <v>87000</v>
      </c>
      <c r="U64" s="66">
        <f>Q64+T64</f>
        <v>170000</v>
      </c>
      <c r="V64" s="66">
        <f t="shared" si="8"/>
        <v>240000</v>
      </c>
      <c r="X64" s="66"/>
      <c r="Y64" s="423" t="s">
        <v>763</v>
      </c>
      <c r="AA64" s="346">
        <v>170000</v>
      </c>
    </row>
    <row r="65" spans="1:27" ht="42.75">
      <c r="A65" s="276">
        <f t="shared" si="5"/>
        <v>466</v>
      </c>
      <c r="B65" s="276" t="s">
        <v>190</v>
      </c>
      <c r="C65" s="238">
        <f>'[4]Salary Summary GC Adopted'!Y28</f>
        <v>3452871.390151999</v>
      </c>
      <c r="D65" s="238">
        <v>3557899.5863123713</v>
      </c>
      <c r="F65" s="238">
        <v>1158444</v>
      </c>
      <c r="G65" s="238">
        <v>887333</v>
      </c>
      <c r="J65" s="238">
        <v>1000000</v>
      </c>
      <c r="K65" s="238">
        <f t="shared" si="44"/>
        <v>1000000</v>
      </c>
      <c r="L65" s="239"/>
      <c r="M65" s="239">
        <f>'Salary Summary 21 for 2022-2024'!M31</f>
        <v>1322089.656606118</v>
      </c>
      <c r="N65" s="239">
        <f t="shared" si="0"/>
        <v>1322089.656606118</v>
      </c>
      <c r="O65" s="332"/>
      <c r="P65" s="239">
        <f t="shared" si="1"/>
        <v>1322089.656606118</v>
      </c>
      <c r="Q65" s="507">
        <f>'Salary Summary 21 for 2022-2024'!Q31-75000</f>
        <v>1245968.0854528472</v>
      </c>
      <c r="R65" s="507"/>
      <c r="S65" s="507">
        <f>'Salary Summary 21 for 2022-2024'!U31-75000</f>
        <v>1290938.0213887789</v>
      </c>
      <c r="T65" s="66">
        <f t="shared" ref="T65" si="45">R65+S65</f>
        <v>1290938.0213887789</v>
      </c>
      <c r="U65" s="66">
        <f>Q65+T65</f>
        <v>2536906.1068416261</v>
      </c>
      <c r="V65" s="66">
        <f t="shared" si="8"/>
        <v>3858995.7634477438</v>
      </c>
      <c r="X65" s="585" t="s">
        <v>764</v>
      </c>
      <c r="Y65" s="423"/>
      <c r="AA65" s="346">
        <v>2686906.1068416261</v>
      </c>
    </row>
    <row r="66" spans="1:27">
      <c r="A66" s="276" t="s">
        <v>765</v>
      </c>
      <c r="B66" s="276" t="s">
        <v>195</v>
      </c>
      <c r="K66" s="238">
        <f>I68</f>
        <v>25000</v>
      </c>
      <c r="L66" s="239"/>
      <c r="M66" s="239"/>
      <c r="N66" s="239">
        <f t="shared" si="0"/>
        <v>0</v>
      </c>
      <c r="O66" s="332"/>
      <c r="P66" s="239">
        <f t="shared" si="1"/>
        <v>0</v>
      </c>
      <c r="Q66" s="294"/>
      <c r="R66" s="294"/>
      <c r="S66" s="294"/>
      <c r="T66" s="294"/>
      <c r="U66" s="294"/>
      <c r="V66" s="294">
        <f t="shared" si="8"/>
        <v>0</v>
      </c>
      <c r="X66" s="294"/>
      <c r="Y66" s="423"/>
    </row>
    <row r="67" spans="1:27" ht="46.05" customHeight="1">
      <c r="A67" s="276">
        <f>A65+1</f>
        <v>467</v>
      </c>
      <c r="B67" s="276" t="s">
        <v>766</v>
      </c>
      <c r="C67" s="238">
        <v>-337000</v>
      </c>
      <c r="D67" s="238">
        <v>-337000</v>
      </c>
      <c r="F67" s="238">
        <v>-112333</v>
      </c>
      <c r="G67" s="238">
        <v>-112333</v>
      </c>
      <c r="J67" s="238">
        <v>-112333</v>
      </c>
      <c r="K67" s="238">
        <f>J67</f>
        <v>-112333</v>
      </c>
      <c r="L67" s="239"/>
      <c r="M67" s="239"/>
      <c r="N67" s="239">
        <f t="shared" si="0"/>
        <v>0</v>
      </c>
      <c r="O67" s="312"/>
      <c r="P67" s="239">
        <f t="shared" si="1"/>
        <v>0</v>
      </c>
      <c r="Q67" s="294">
        <v>-60000</v>
      </c>
      <c r="R67" s="294"/>
      <c r="S67" s="294">
        <v>-60000</v>
      </c>
      <c r="T67" s="66">
        <f t="shared" ref="T67" si="46">R67+S67</f>
        <v>-60000</v>
      </c>
      <c r="U67" s="66">
        <f>Q67+T67</f>
        <v>-120000</v>
      </c>
      <c r="V67" s="66">
        <f t="shared" si="8"/>
        <v>-120000</v>
      </c>
      <c r="X67" s="66"/>
      <c r="Y67" s="591" t="s">
        <v>767</v>
      </c>
      <c r="AA67" s="346">
        <v>-120000</v>
      </c>
    </row>
    <row r="68" spans="1:27" s="434" customFormat="1" ht="28.5">
      <c r="A68" s="535">
        <f t="shared" si="5"/>
        <v>468</v>
      </c>
      <c r="B68" s="535" t="s">
        <v>768</v>
      </c>
      <c r="C68" s="510">
        <f>SUM(C61:C67)</f>
        <v>4576812.390151999</v>
      </c>
      <c r="D68" s="510">
        <v>4740899.5863123713</v>
      </c>
      <c r="E68" s="510">
        <v>1289416</v>
      </c>
      <c r="F68" s="510">
        <f t="shared" ref="F68:N68" si="47">SUM(F61:F67)</f>
        <v>1552778</v>
      </c>
      <c r="G68" s="510">
        <f>SUM(G61:G67)</f>
        <v>1100000</v>
      </c>
      <c r="H68" s="319" t="s">
        <v>769</v>
      </c>
      <c r="I68" s="510">
        <f t="shared" si="47"/>
        <v>25000</v>
      </c>
      <c r="J68" s="510">
        <f t="shared" si="47"/>
        <v>1357667</v>
      </c>
      <c r="K68" s="510">
        <f t="shared" si="47"/>
        <v>1382667</v>
      </c>
      <c r="L68" s="511">
        <f t="shared" si="47"/>
        <v>25000</v>
      </c>
      <c r="M68" s="511">
        <f t="shared" si="47"/>
        <v>1767089.656606118</v>
      </c>
      <c r="N68" s="511">
        <f t="shared" si="47"/>
        <v>1792089.656606118</v>
      </c>
      <c r="O68" s="680"/>
      <c r="P68" s="511">
        <f t="shared" si="1"/>
        <v>1792089.656606118</v>
      </c>
      <c r="Q68" s="545">
        <f>SUM(Q61:Q67)</f>
        <v>1668968.0854528472</v>
      </c>
      <c r="R68" s="545">
        <f t="shared" ref="R68:U68" si="48">SUM(R61:R67)</f>
        <v>20000</v>
      </c>
      <c r="S68" s="545">
        <f t="shared" si="48"/>
        <v>1693938.0213887789</v>
      </c>
      <c r="T68" s="545">
        <f t="shared" si="48"/>
        <v>1717938.0213887789</v>
      </c>
      <c r="U68" s="545">
        <f t="shared" si="48"/>
        <v>3386906.1068416261</v>
      </c>
      <c r="V68" s="545">
        <f t="shared" si="8"/>
        <v>5178995.7634477438</v>
      </c>
      <c r="W68" s="510">
        <f>E68+G68+K68</f>
        <v>3772083</v>
      </c>
      <c r="X68" s="545"/>
      <c r="Y68" s="317">
        <f t="shared" ref="Y68" si="49">SUM(Y61:Y67)</f>
        <v>0</v>
      </c>
      <c r="AA68" s="515">
        <v>3536906.1068416261</v>
      </c>
    </row>
    <row r="69" spans="1:27">
      <c r="A69" s="298">
        <f t="shared" si="5"/>
        <v>469</v>
      </c>
      <c r="L69" s="239"/>
      <c r="M69" s="239"/>
      <c r="N69" s="239">
        <f t="shared" si="0"/>
        <v>0</v>
      </c>
      <c r="O69" s="312"/>
      <c r="P69" s="239">
        <f t="shared" si="1"/>
        <v>0</v>
      </c>
      <c r="Q69" s="294"/>
      <c r="R69" s="294"/>
      <c r="S69" s="294"/>
      <c r="T69" s="294"/>
      <c r="U69" s="294"/>
      <c r="V69" s="294">
        <f t="shared" si="8"/>
        <v>0</v>
      </c>
      <c r="X69" s="294"/>
      <c r="Y69" s="423"/>
    </row>
    <row r="70" spans="1:27" ht="22.5" customHeight="1">
      <c r="A70" s="310">
        <f t="shared" si="5"/>
        <v>470</v>
      </c>
      <c r="B70" s="310" t="s">
        <v>770</v>
      </c>
      <c r="C70" s="63">
        <v>727000</v>
      </c>
      <c r="D70" s="63">
        <v>0</v>
      </c>
      <c r="E70" s="63">
        <v>319221</v>
      </c>
      <c r="F70" s="63"/>
      <c r="G70" s="63"/>
      <c r="H70" s="63"/>
      <c r="I70" s="63"/>
      <c r="J70" s="63"/>
      <c r="K70" s="63"/>
      <c r="L70" s="77"/>
      <c r="M70" s="77"/>
      <c r="N70" s="77">
        <f t="shared" si="0"/>
        <v>0</v>
      </c>
      <c r="O70" s="681"/>
      <c r="P70" s="77">
        <f t="shared" si="1"/>
        <v>0</v>
      </c>
      <c r="Q70" s="294"/>
      <c r="R70" s="294"/>
      <c r="S70" s="294"/>
      <c r="T70" s="294"/>
      <c r="U70" s="294"/>
      <c r="V70" s="294">
        <f t="shared" si="8"/>
        <v>0</v>
      </c>
      <c r="W70" s="63">
        <f t="shared" ref="W70:W78" si="50">E70+G70+K70</f>
        <v>319221</v>
      </c>
      <c r="X70" s="294"/>
      <c r="Y70" s="423"/>
      <c r="AA70" s="296"/>
    </row>
    <row r="71" spans="1:27" ht="34.049999999999997" customHeight="1">
      <c r="A71" s="298">
        <f t="shared" si="5"/>
        <v>471</v>
      </c>
      <c r="B71" s="298" t="s">
        <v>771</v>
      </c>
      <c r="C71" s="63"/>
      <c r="D71" s="63">
        <v>405000</v>
      </c>
      <c r="E71" s="63"/>
      <c r="F71" s="63">
        <v>105000</v>
      </c>
      <c r="G71" s="63">
        <v>90000</v>
      </c>
      <c r="H71" s="547" t="s">
        <v>772</v>
      </c>
      <c r="I71" s="63">
        <v>5000</v>
      </c>
      <c r="J71" s="63">
        <v>100000</v>
      </c>
      <c r="K71" s="63">
        <f>J71</f>
        <v>100000</v>
      </c>
      <c r="L71" s="77">
        <v>5000</v>
      </c>
      <c r="M71" s="77">
        <v>135000</v>
      </c>
      <c r="N71" s="77">
        <f t="shared" ref="N71:N112" si="51">L71+M71</f>
        <v>140000</v>
      </c>
      <c r="O71" s="312"/>
      <c r="P71" s="77">
        <f t="shared" ref="P71:P105" si="52">N71</f>
        <v>140000</v>
      </c>
      <c r="Q71" s="682">
        <v>145000</v>
      </c>
      <c r="R71" s="137">
        <v>5000</v>
      </c>
      <c r="S71" s="682">
        <v>150000</v>
      </c>
      <c r="T71" s="66">
        <f t="shared" ref="T71:T77" si="53">R71+S71</f>
        <v>155000</v>
      </c>
      <c r="U71" s="66">
        <f t="shared" ref="U71:U77" si="54">Q71+T71</f>
        <v>300000</v>
      </c>
      <c r="V71" s="66">
        <f t="shared" si="8"/>
        <v>440000</v>
      </c>
      <c r="W71" s="63">
        <f t="shared" si="50"/>
        <v>190000</v>
      </c>
      <c r="X71" s="66"/>
      <c r="Y71" s="423"/>
      <c r="AA71" s="296">
        <v>300000</v>
      </c>
    </row>
    <row r="72" spans="1:27">
      <c r="A72" s="298">
        <f t="shared" ref="A72:A75" si="55">A71+1</f>
        <v>472</v>
      </c>
      <c r="B72" s="298" t="s">
        <v>480</v>
      </c>
      <c r="C72" s="63"/>
      <c r="D72" s="63">
        <v>295000</v>
      </c>
      <c r="E72" s="63"/>
      <c r="F72" s="63">
        <v>98000</v>
      </c>
      <c r="G72" s="63">
        <v>98000</v>
      </c>
      <c r="H72" s="547" t="s">
        <v>773</v>
      </c>
      <c r="I72" s="63"/>
      <c r="J72" s="63">
        <v>100000</v>
      </c>
      <c r="K72" s="63">
        <f t="shared" ref="K72:K75" si="56">J72</f>
        <v>100000</v>
      </c>
      <c r="L72" s="77"/>
      <c r="M72" s="77">
        <v>100000</v>
      </c>
      <c r="N72" s="77">
        <f t="shared" si="51"/>
        <v>100000</v>
      </c>
      <c r="O72" s="312"/>
      <c r="P72" s="77">
        <f t="shared" si="52"/>
        <v>100000</v>
      </c>
      <c r="Q72" s="137">
        <v>100000</v>
      </c>
      <c r="R72" s="137"/>
      <c r="S72" s="137">
        <v>105000</v>
      </c>
      <c r="T72" s="66">
        <f t="shared" si="53"/>
        <v>105000</v>
      </c>
      <c r="U72" s="66">
        <f t="shared" si="54"/>
        <v>205000</v>
      </c>
      <c r="V72" s="66">
        <f t="shared" si="8"/>
        <v>305000</v>
      </c>
      <c r="W72" s="63">
        <f t="shared" si="50"/>
        <v>198000</v>
      </c>
      <c r="X72" s="66"/>
      <c r="Y72" s="423"/>
      <c r="AA72" s="296">
        <v>205000</v>
      </c>
    </row>
    <row r="73" spans="1:27" ht="34.9" customHeight="1">
      <c r="A73" s="298">
        <f t="shared" si="55"/>
        <v>473</v>
      </c>
      <c r="B73" s="298" t="s">
        <v>774</v>
      </c>
      <c r="C73" s="63"/>
      <c r="D73" s="63">
        <v>30000</v>
      </c>
      <c r="E73" s="63"/>
      <c r="F73" s="63">
        <v>23000</v>
      </c>
      <c r="G73" s="63">
        <v>23000</v>
      </c>
      <c r="H73" s="547" t="s">
        <v>775</v>
      </c>
      <c r="I73" s="63"/>
      <c r="J73" s="63">
        <v>24000</v>
      </c>
      <c r="K73" s="63">
        <f t="shared" si="56"/>
        <v>24000</v>
      </c>
      <c r="L73" s="77"/>
      <c r="M73" s="77">
        <v>30000</v>
      </c>
      <c r="N73" s="77">
        <f t="shared" si="51"/>
        <v>30000</v>
      </c>
      <c r="O73" s="312"/>
      <c r="P73" s="77">
        <f t="shared" si="52"/>
        <v>30000</v>
      </c>
      <c r="Q73" s="137">
        <v>40000</v>
      </c>
      <c r="R73" s="137"/>
      <c r="S73" s="137">
        <v>42000</v>
      </c>
      <c r="T73" s="66">
        <f t="shared" si="53"/>
        <v>42000</v>
      </c>
      <c r="U73" s="66">
        <f t="shared" si="54"/>
        <v>82000</v>
      </c>
      <c r="V73" s="66">
        <f t="shared" ref="V73:V113" si="57">P73+U73</f>
        <v>112000</v>
      </c>
      <c r="W73" s="63">
        <f t="shared" si="50"/>
        <v>47000</v>
      </c>
      <c r="X73" s="66"/>
      <c r="Y73" s="423"/>
      <c r="AA73" s="296">
        <v>82000</v>
      </c>
    </row>
    <row r="74" spans="1:27">
      <c r="A74" s="298">
        <f t="shared" si="55"/>
        <v>474</v>
      </c>
      <c r="B74" s="298" t="s">
        <v>776</v>
      </c>
      <c r="C74" s="63"/>
      <c r="D74" s="63">
        <v>21000</v>
      </c>
      <c r="E74" s="63"/>
      <c r="F74" s="63">
        <v>5000</v>
      </c>
      <c r="G74" s="63">
        <v>5000</v>
      </c>
      <c r="H74" s="547" t="s">
        <v>777</v>
      </c>
      <c r="I74" s="63"/>
      <c r="J74" s="63">
        <v>5000</v>
      </c>
      <c r="K74" s="63">
        <f t="shared" si="56"/>
        <v>5000</v>
      </c>
      <c r="L74" s="77"/>
      <c r="M74" s="77">
        <v>5000</v>
      </c>
      <c r="N74" s="77">
        <f t="shared" si="51"/>
        <v>5000</v>
      </c>
      <c r="O74" s="484"/>
      <c r="P74" s="77">
        <f t="shared" si="52"/>
        <v>5000</v>
      </c>
      <c r="Q74" s="585">
        <v>14000</v>
      </c>
      <c r="R74" s="137"/>
      <c r="S74" s="585">
        <v>14000</v>
      </c>
      <c r="T74" s="66">
        <f t="shared" si="53"/>
        <v>14000</v>
      </c>
      <c r="U74" s="66">
        <f t="shared" si="54"/>
        <v>28000</v>
      </c>
      <c r="V74" s="66">
        <f t="shared" si="57"/>
        <v>33000</v>
      </c>
      <c r="W74" s="63">
        <f t="shared" si="50"/>
        <v>10000</v>
      </c>
      <c r="X74" s="66"/>
      <c r="Y74" s="423" t="s">
        <v>778</v>
      </c>
      <c r="AA74" s="296">
        <v>28000</v>
      </c>
    </row>
    <row r="75" spans="1:27" ht="34.9" customHeight="1">
      <c r="A75" s="298">
        <f t="shared" si="55"/>
        <v>475</v>
      </c>
      <c r="B75" s="298" t="s">
        <v>443</v>
      </c>
      <c r="C75" s="63"/>
      <c r="D75" s="63">
        <v>140000</v>
      </c>
      <c r="E75" s="71"/>
      <c r="F75" s="63">
        <v>45000</v>
      </c>
      <c r="G75" s="63">
        <v>15000</v>
      </c>
      <c r="H75" s="547" t="s">
        <v>779</v>
      </c>
      <c r="I75" s="63">
        <v>12000</v>
      </c>
      <c r="J75" s="63">
        <v>20000</v>
      </c>
      <c r="K75" s="63">
        <f t="shared" si="56"/>
        <v>20000</v>
      </c>
      <c r="L75" s="77">
        <v>12000</v>
      </c>
      <c r="M75" s="77">
        <v>30000</v>
      </c>
      <c r="N75" s="77">
        <f t="shared" si="51"/>
        <v>42000</v>
      </c>
      <c r="O75" s="484"/>
      <c r="P75" s="77">
        <f t="shared" si="52"/>
        <v>42000</v>
      </c>
      <c r="Q75" s="585">
        <v>40000</v>
      </c>
      <c r="R75" s="137">
        <v>15000</v>
      </c>
      <c r="S75" s="585">
        <v>42000</v>
      </c>
      <c r="T75" s="66">
        <f t="shared" si="53"/>
        <v>57000</v>
      </c>
      <c r="U75" s="66">
        <f t="shared" si="54"/>
        <v>97000</v>
      </c>
      <c r="V75" s="66">
        <f t="shared" si="57"/>
        <v>139000</v>
      </c>
      <c r="W75" s="63">
        <f t="shared" si="50"/>
        <v>35000</v>
      </c>
      <c r="X75" s="66"/>
      <c r="Y75" s="423"/>
      <c r="AA75" s="296">
        <v>97000</v>
      </c>
    </row>
    <row r="76" spans="1:27" ht="34.9" customHeight="1">
      <c r="A76" s="666" t="s">
        <v>780</v>
      </c>
      <c r="B76" s="298" t="s">
        <v>188</v>
      </c>
      <c r="C76" s="63"/>
      <c r="D76" s="63"/>
      <c r="E76" s="71"/>
      <c r="F76" s="63"/>
      <c r="G76" s="63"/>
      <c r="H76" s="547"/>
      <c r="I76" s="63"/>
      <c r="J76" s="63"/>
      <c r="K76" s="63">
        <f>I78</f>
        <v>17000</v>
      </c>
      <c r="L76" s="77"/>
      <c r="M76" s="77"/>
      <c r="N76" s="77">
        <f t="shared" si="51"/>
        <v>0</v>
      </c>
      <c r="O76" s="484"/>
      <c r="P76" s="77">
        <f t="shared" si="52"/>
        <v>0</v>
      </c>
      <c r="Q76" s="294"/>
      <c r="R76" s="294"/>
      <c r="S76" s="294"/>
      <c r="T76" s="66">
        <f t="shared" si="53"/>
        <v>0</v>
      </c>
      <c r="U76" s="66">
        <f t="shared" si="54"/>
        <v>0</v>
      </c>
      <c r="V76" s="66">
        <f t="shared" si="57"/>
        <v>0</v>
      </c>
      <c r="W76" s="63">
        <f t="shared" si="50"/>
        <v>17000</v>
      </c>
      <c r="X76" s="66"/>
      <c r="Y76" s="423"/>
      <c r="AA76" s="296">
        <v>0</v>
      </c>
    </row>
    <row r="77" spans="1:27">
      <c r="A77" s="298">
        <f>A75+1</f>
        <v>476</v>
      </c>
      <c r="B77" s="298" t="s">
        <v>190</v>
      </c>
      <c r="C77" s="63">
        <f>'[4]Salary Summary GC Adopted'!Y6</f>
        <v>3095748.7296600337</v>
      </c>
      <c r="D77" s="298">
        <v>1654288.4395884615</v>
      </c>
      <c r="E77" s="298">
        <v>524108</v>
      </c>
      <c r="F77" s="298">
        <f>'[3]Salary Summary 19 for 2019-2021'!L31</f>
        <v>633314.5782314688</v>
      </c>
      <c r="G77" s="298">
        <v>633314.5782314688</v>
      </c>
      <c r="H77" s="298" t="s">
        <v>781</v>
      </c>
      <c r="I77" s="298"/>
      <c r="J77" s="298">
        <f>'[3]Salary Summary 20 for 2019-2021'!P31</f>
        <v>656426.9206765946</v>
      </c>
      <c r="K77" s="298">
        <f>J77</f>
        <v>656426.9206765946</v>
      </c>
      <c r="L77" s="356"/>
      <c r="M77" s="356">
        <f>'Salary Summary 21 for 2022-2024'!M32</f>
        <v>691336.62789510423</v>
      </c>
      <c r="N77" s="356">
        <f t="shared" si="51"/>
        <v>691336.62789510423</v>
      </c>
      <c r="O77" s="332"/>
      <c r="P77" s="356">
        <f t="shared" si="52"/>
        <v>691336.62789510423</v>
      </c>
      <c r="Q77" s="294">
        <f>'Salary Summary 21 for 2022-2024'!Q32</f>
        <v>713819.8075264896</v>
      </c>
      <c r="R77" s="294"/>
      <c r="S77" s="294">
        <f>'Salary Summary 21 for 2022-2024'!U32</f>
        <v>736694.97480027773</v>
      </c>
      <c r="T77" s="66">
        <f t="shared" si="53"/>
        <v>736694.97480027773</v>
      </c>
      <c r="U77" s="66">
        <f t="shared" si="54"/>
        <v>1450514.7823267672</v>
      </c>
      <c r="V77" s="66">
        <f t="shared" si="57"/>
        <v>2141851.4102218715</v>
      </c>
      <c r="W77" s="63">
        <f t="shared" si="50"/>
        <v>1813849.4989080634</v>
      </c>
      <c r="X77" s="66"/>
      <c r="Y77" s="423" t="s">
        <v>782</v>
      </c>
      <c r="AA77" s="608">
        <v>1450514.7823267672</v>
      </c>
    </row>
    <row r="78" spans="1:27" s="434" customFormat="1">
      <c r="A78" s="525">
        <f t="shared" ref="A78:A113" si="58">A77+1</f>
        <v>477</v>
      </c>
      <c r="B78" s="525" t="s">
        <v>783</v>
      </c>
      <c r="C78" s="510">
        <f>SUM(C70:C77)</f>
        <v>3822748.7296600337</v>
      </c>
      <c r="D78" s="510">
        <v>2545288.4395884615</v>
      </c>
      <c r="E78" s="510">
        <f t="shared" ref="E78:G78" si="59">SUM(E70:E77)</f>
        <v>843329</v>
      </c>
      <c r="F78" s="510">
        <f t="shared" si="59"/>
        <v>909314.5782314688</v>
      </c>
      <c r="G78" s="510">
        <f t="shared" si="59"/>
        <v>864314.5782314688</v>
      </c>
      <c r="H78" s="510"/>
      <c r="I78" s="510">
        <f t="shared" ref="I78:N78" si="60">SUM(I70:I77)</f>
        <v>17000</v>
      </c>
      <c r="J78" s="510">
        <f t="shared" si="60"/>
        <v>905426.9206765946</v>
      </c>
      <c r="K78" s="510">
        <f t="shared" si="60"/>
        <v>922426.9206765946</v>
      </c>
      <c r="L78" s="511">
        <f t="shared" si="60"/>
        <v>17000</v>
      </c>
      <c r="M78" s="511">
        <f t="shared" si="60"/>
        <v>991336.62789510423</v>
      </c>
      <c r="N78" s="511">
        <f t="shared" si="60"/>
        <v>1008336.6278951042</v>
      </c>
      <c r="O78" s="512"/>
      <c r="P78" s="511">
        <f t="shared" si="52"/>
        <v>1008336.6278951042</v>
      </c>
      <c r="Q78" s="545">
        <f>SUM(Q70:Q77)</f>
        <v>1052819.8075264897</v>
      </c>
      <c r="R78" s="545">
        <f t="shared" ref="R78:U78" si="61">SUM(R70:R77)</f>
        <v>20000</v>
      </c>
      <c r="S78" s="545">
        <f t="shared" si="61"/>
        <v>1089694.9748002777</v>
      </c>
      <c r="T78" s="545">
        <f t="shared" si="61"/>
        <v>1109694.9748002777</v>
      </c>
      <c r="U78" s="545">
        <f t="shared" si="61"/>
        <v>2162514.7823267672</v>
      </c>
      <c r="V78" s="545">
        <f t="shared" si="57"/>
        <v>3170851.4102218715</v>
      </c>
      <c r="W78" s="510">
        <f t="shared" si="50"/>
        <v>2630070.4989080634</v>
      </c>
      <c r="X78" s="545"/>
      <c r="Y78" s="317">
        <f t="shared" ref="Y78" si="62">SUM(Y70:Y77)</f>
        <v>0</v>
      </c>
      <c r="AA78" s="515">
        <v>2162514.7823267672</v>
      </c>
    </row>
    <row r="79" spans="1:27">
      <c r="A79" s="298">
        <f t="shared" si="58"/>
        <v>478</v>
      </c>
      <c r="D79" s="238">
        <v>0</v>
      </c>
      <c r="L79" s="239"/>
      <c r="M79" s="239"/>
      <c r="N79" s="239">
        <f t="shared" si="51"/>
        <v>0</v>
      </c>
      <c r="O79" s="312"/>
      <c r="P79" s="239">
        <f t="shared" si="52"/>
        <v>0</v>
      </c>
      <c r="Q79" s="294"/>
      <c r="R79" s="294"/>
      <c r="S79" s="294"/>
      <c r="T79" s="294"/>
      <c r="U79" s="294"/>
      <c r="V79" s="294">
        <f t="shared" si="57"/>
        <v>0</v>
      </c>
      <c r="X79" s="294"/>
      <c r="Y79" s="423"/>
    </row>
    <row r="80" spans="1:27" ht="28.5" customHeight="1">
      <c r="A80" s="298">
        <f t="shared" si="58"/>
        <v>479</v>
      </c>
      <c r="B80" s="310" t="s">
        <v>784</v>
      </c>
      <c r="D80" s="238">
        <v>0</v>
      </c>
      <c r="L80" s="239"/>
      <c r="M80" s="239"/>
      <c r="N80" s="239">
        <f t="shared" si="51"/>
        <v>0</v>
      </c>
      <c r="O80" s="312"/>
      <c r="P80" s="239">
        <f t="shared" si="52"/>
        <v>0</v>
      </c>
      <c r="Q80" s="294"/>
      <c r="R80" s="294"/>
      <c r="S80" s="294"/>
      <c r="T80" s="294"/>
      <c r="U80" s="294"/>
      <c r="V80" s="294">
        <f t="shared" si="57"/>
        <v>0</v>
      </c>
      <c r="X80" s="294"/>
      <c r="Y80" s="423"/>
    </row>
    <row r="81" spans="1:27" ht="52.9" customHeight="1">
      <c r="A81" s="298">
        <f t="shared" si="58"/>
        <v>480</v>
      </c>
      <c r="B81" s="437" t="s">
        <v>785</v>
      </c>
      <c r="C81" s="238">
        <f>120000-40000</f>
        <v>80000</v>
      </c>
      <c r="D81" s="238">
        <v>150000</v>
      </c>
      <c r="E81" s="62">
        <v>50113</v>
      </c>
      <c r="F81" s="62">
        <v>50000</v>
      </c>
      <c r="G81" s="62">
        <v>30000</v>
      </c>
      <c r="H81" s="63" t="s">
        <v>786</v>
      </c>
      <c r="I81" s="62"/>
      <c r="J81" s="62">
        <v>50000</v>
      </c>
      <c r="K81" s="62">
        <f>J81</f>
        <v>50000</v>
      </c>
      <c r="L81" s="56"/>
      <c r="M81" s="56">
        <v>50000</v>
      </c>
      <c r="N81" s="56">
        <f t="shared" si="51"/>
        <v>50000</v>
      </c>
      <c r="O81" s="312" t="s">
        <v>787</v>
      </c>
      <c r="P81" s="56">
        <f t="shared" si="52"/>
        <v>50000</v>
      </c>
      <c r="Q81" s="507">
        <v>45000</v>
      </c>
      <c r="R81" s="507"/>
      <c r="S81" s="507">
        <v>45000</v>
      </c>
      <c r="T81" s="66">
        <f t="shared" ref="T81:T82" si="63">R81+S81</f>
        <v>45000</v>
      </c>
      <c r="U81" s="66">
        <f>Q81+T81</f>
        <v>90000</v>
      </c>
      <c r="V81" s="66">
        <f t="shared" si="57"/>
        <v>140000</v>
      </c>
      <c r="W81" s="62">
        <f t="shared" ref="W81:W113" si="64">E81+G81+K81</f>
        <v>130113</v>
      </c>
      <c r="X81" s="66"/>
      <c r="Y81" s="423" t="s">
        <v>787</v>
      </c>
      <c r="AA81" s="60">
        <v>90000</v>
      </c>
    </row>
    <row r="82" spans="1:27" ht="37.15" customHeight="1">
      <c r="A82" s="298">
        <f t="shared" si="58"/>
        <v>481</v>
      </c>
      <c r="B82" s="298" t="s">
        <v>788</v>
      </c>
      <c r="C82" s="238">
        <f>60300-20000</f>
        <v>40300</v>
      </c>
      <c r="D82" s="238">
        <v>30000</v>
      </c>
      <c r="E82" s="62">
        <v>11883</v>
      </c>
      <c r="F82" s="62">
        <v>10000</v>
      </c>
      <c r="G82" s="62">
        <v>10000</v>
      </c>
      <c r="H82" s="63" t="s">
        <v>789</v>
      </c>
      <c r="I82" s="62"/>
      <c r="J82" s="62">
        <v>10000</v>
      </c>
      <c r="K82" s="62">
        <f t="shared" ref="K82:K91" si="65">J82</f>
        <v>10000</v>
      </c>
      <c r="L82" s="56"/>
      <c r="M82" s="56"/>
      <c r="N82" s="56">
        <f t="shared" si="51"/>
        <v>0</v>
      </c>
      <c r="O82" s="312"/>
      <c r="P82" s="56">
        <f t="shared" si="52"/>
        <v>0</v>
      </c>
      <c r="Q82" s="507">
        <v>8000</v>
      </c>
      <c r="R82" s="507">
        <v>4000</v>
      </c>
      <c r="S82" s="507">
        <v>8000</v>
      </c>
      <c r="T82" s="66">
        <f t="shared" si="63"/>
        <v>12000</v>
      </c>
      <c r="U82" s="66">
        <f>Q82+T82</f>
        <v>20000</v>
      </c>
      <c r="V82" s="66">
        <f t="shared" si="57"/>
        <v>20000</v>
      </c>
      <c r="W82" s="62">
        <f t="shared" si="64"/>
        <v>31883</v>
      </c>
      <c r="X82" s="66"/>
      <c r="Y82" s="423" t="s">
        <v>790</v>
      </c>
      <c r="AA82" s="60">
        <v>20000</v>
      </c>
    </row>
    <row r="83" spans="1:27">
      <c r="A83" s="298">
        <f t="shared" si="58"/>
        <v>482</v>
      </c>
      <c r="B83" s="298" t="s">
        <v>791</v>
      </c>
      <c r="C83" s="238">
        <f>65000-10000</f>
        <v>55000</v>
      </c>
      <c r="D83" s="238">
        <v>55000</v>
      </c>
      <c r="E83" s="62">
        <v>11165</v>
      </c>
      <c r="F83" s="62">
        <v>18333</v>
      </c>
      <c r="G83" s="62">
        <v>9438</v>
      </c>
      <c r="H83" s="62" t="s">
        <v>792</v>
      </c>
      <c r="I83" s="62"/>
      <c r="J83" s="62">
        <v>14000</v>
      </c>
      <c r="K83" s="62">
        <f t="shared" si="65"/>
        <v>14000</v>
      </c>
      <c r="L83" s="56"/>
      <c r="M83" s="56">
        <v>14000</v>
      </c>
      <c r="N83" s="56">
        <f t="shared" si="51"/>
        <v>14000</v>
      </c>
      <c r="O83" s="312"/>
      <c r="P83" s="56">
        <f t="shared" si="52"/>
        <v>14000</v>
      </c>
      <c r="Q83" s="507">
        <v>14000</v>
      </c>
      <c r="R83" s="507">
        <v>2000</v>
      </c>
      <c r="S83" s="507">
        <v>14000</v>
      </c>
      <c r="T83" s="66">
        <v>16000</v>
      </c>
      <c r="U83" s="66">
        <v>30000</v>
      </c>
      <c r="V83" s="66">
        <f t="shared" si="57"/>
        <v>44000</v>
      </c>
      <c r="W83" s="62">
        <f t="shared" si="64"/>
        <v>34603</v>
      </c>
      <c r="X83" s="66"/>
      <c r="Y83" s="423"/>
      <c r="AA83" s="60">
        <v>30000</v>
      </c>
    </row>
    <row r="84" spans="1:27">
      <c r="A84" s="298">
        <f t="shared" si="58"/>
        <v>483</v>
      </c>
      <c r="B84" s="298" t="s">
        <v>793</v>
      </c>
      <c r="C84" s="238">
        <v>30000</v>
      </c>
      <c r="D84" s="238">
        <v>30000</v>
      </c>
      <c r="E84" s="62"/>
      <c r="F84" s="62">
        <v>10000</v>
      </c>
      <c r="G84" s="62">
        <v>4463</v>
      </c>
      <c r="H84" s="62"/>
      <c r="I84" s="62"/>
      <c r="J84" s="62">
        <v>8000</v>
      </c>
      <c r="K84" s="62">
        <f t="shared" si="65"/>
        <v>8000</v>
      </c>
      <c r="L84" s="56"/>
      <c r="M84" s="56">
        <v>8000</v>
      </c>
      <c r="N84" s="56">
        <f t="shared" si="51"/>
        <v>8000</v>
      </c>
      <c r="O84" s="312"/>
      <c r="P84" s="56">
        <f t="shared" si="52"/>
        <v>8000</v>
      </c>
      <c r="Q84" s="507">
        <v>7000</v>
      </c>
      <c r="R84" s="507"/>
      <c r="S84" s="507">
        <v>7000</v>
      </c>
      <c r="T84" s="66">
        <f t="shared" ref="T84:T93" si="66">R84+S84</f>
        <v>7000</v>
      </c>
      <c r="U84" s="66">
        <f t="shared" ref="U84:U93" si="67">Q84+T84</f>
        <v>14000</v>
      </c>
      <c r="V84" s="66">
        <f t="shared" si="57"/>
        <v>22000</v>
      </c>
      <c r="W84" s="62">
        <f t="shared" si="64"/>
        <v>12463</v>
      </c>
      <c r="X84" s="66"/>
      <c r="Y84" s="423"/>
      <c r="AA84" s="60">
        <v>14000</v>
      </c>
    </row>
    <row r="85" spans="1:27">
      <c r="A85" s="298">
        <f t="shared" si="58"/>
        <v>484</v>
      </c>
      <c r="B85" s="298" t="s">
        <v>794</v>
      </c>
      <c r="C85" s="238">
        <f>45000-10000</f>
        <v>35000</v>
      </c>
      <c r="D85" s="238">
        <v>35000</v>
      </c>
      <c r="E85" s="62">
        <v>11114</v>
      </c>
      <c r="F85" s="62">
        <v>11667</v>
      </c>
      <c r="G85" s="62">
        <v>8497</v>
      </c>
      <c r="H85" s="62"/>
      <c r="I85" s="62"/>
      <c r="J85" s="62">
        <v>15000</v>
      </c>
      <c r="K85" s="62">
        <f t="shared" si="65"/>
        <v>15000</v>
      </c>
      <c r="L85" s="56"/>
      <c r="M85" s="56">
        <v>15000</v>
      </c>
      <c r="N85" s="56">
        <f t="shared" si="51"/>
        <v>15000</v>
      </c>
      <c r="O85" s="312"/>
      <c r="P85" s="56">
        <f t="shared" si="52"/>
        <v>15000</v>
      </c>
      <c r="Q85" s="294">
        <v>15000</v>
      </c>
      <c r="R85" s="294">
        <v>3000</v>
      </c>
      <c r="S85" s="294">
        <v>15000</v>
      </c>
      <c r="T85" s="66">
        <f t="shared" si="66"/>
        <v>18000</v>
      </c>
      <c r="U85" s="66">
        <f t="shared" si="67"/>
        <v>33000</v>
      </c>
      <c r="V85" s="66">
        <f t="shared" si="57"/>
        <v>48000</v>
      </c>
      <c r="W85" s="62">
        <f t="shared" si="64"/>
        <v>34611</v>
      </c>
      <c r="X85" s="66"/>
      <c r="Y85" s="423"/>
      <c r="AA85" s="60">
        <v>33000</v>
      </c>
    </row>
    <row r="86" spans="1:27">
      <c r="A86" s="298">
        <f t="shared" si="58"/>
        <v>485</v>
      </c>
      <c r="B86" s="298" t="s">
        <v>795</v>
      </c>
      <c r="C86" s="238">
        <v>45000</v>
      </c>
      <c r="D86" s="238">
        <v>45000</v>
      </c>
      <c r="E86" s="62">
        <v>31714</v>
      </c>
      <c r="F86" s="62">
        <v>15000</v>
      </c>
      <c r="G86" s="62">
        <v>12855</v>
      </c>
      <c r="H86" s="62"/>
      <c r="I86" s="62"/>
      <c r="J86" s="62">
        <v>15000</v>
      </c>
      <c r="K86" s="62">
        <f t="shared" si="65"/>
        <v>15000</v>
      </c>
      <c r="L86" s="56"/>
      <c r="M86" s="56">
        <v>15000</v>
      </c>
      <c r="N86" s="56">
        <f t="shared" si="51"/>
        <v>15000</v>
      </c>
      <c r="O86" s="312"/>
      <c r="P86" s="56">
        <f t="shared" si="52"/>
        <v>15000</v>
      </c>
      <c r="Q86" s="507">
        <v>13500</v>
      </c>
      <c r="R86" s="507"/>
      <c r="S86" s="507">
        <v>13500</v>
      </c>
      <c r="T86" s="66">
        <f t="shared" si="66"/>
        <v>13500</v>
      </c>
      <c r="U86" s="66">
        <f t="shared" si="67"/>
        <v>27000</v>
      </c>
      <c r="V86" s="66">
        <f t="shared" si="57"/>
        <v>42000</v>
      </c>
      <c r="W86" s="62">
        <f t="shared" si="64"/>
        <v>59569</v>
      </c>
      <c r="X86" s="66"/>
      <c r="Y86" s="423"/>
      <c r="AA86" s="60">
        <v>27000</v>
      </c>
    </row>
    <row r="87" spans="1:27">
      <c r="A87" s="298">
        <f t="shared" si="58"/>
        <v>486</v>
      </c>
      <c r="B87" s="298" t="s">
        <v>796</v>
      </c>
      <c r="C87" s="238">
        <v>0</v>
      </c>
      <c r="D87" s="238">
        <v>15000</v>
      </c>
      <c r="E87" s="62"/>
      <c r="F87" s="62">
        <v>5000</v>
      </c>
      <c r="G87" s="62">
        <v>1000</v>
      </c>
      <c r="H87" s="62"/>
      <c r="I87" s="62"/>
      <c r="J87" s="62">
        <v>4000</v>
      </c>
      <c r="K87" s="62">
        <f t="shared" si="65"/>
        <v>4000</v>
      </c>
      <c r="L87" s="56"/>
      <c r="M87" s="56">
        <v>4000</v>
      </c>
      <c r="N87" s="56">
        <f t="shared" si="51"/>
        <v>4000</v>
      </c>
      <c r="O87" s="312"/>
      <c r="P87" s="56">
        <f t="shared" si="52"/>
        <v>4000</v>
      </c>
      <c r="Q87" s="294">
        <v>2000</v>
      </c>
      <c r="R87" s="294"/>
      <c r="S87" s="294">
        <v>2000</v>
      </c>
      <c r="T87" s="66">
        <f t="shared" si="66"/>
        <v>2000</v>
      </c>
      <c r="U87" s="66">
        <f t="shared" si="67"/>
        <v>4000</v>
      </c>
      <c r="V87" s="66">
        <f t="shared" si="57"/>
        <v>8000</v>
      </c>
      <c r="W87" s="62">
        <f t="shared" si="64"/>
        <v>5000</v>
      </c>
      <c r="X87" s="66"/>
      <c r="Y87" s="423"/>
      <c r="AA87" s="60">
        <v>4000</v>
      </c>
    </row>
    <row r="88" spans="1:27">
      <c r="A88" s="298">
        <f t="shared" si="58"/>
        <v>487</v>
      </c>
      <c r="B88" s="298" t="s">
        <v>797</v>
      </c>
      <c r="C88" s="238">
        <v>40000</v>
      </c>
      <c r="D88" s="238">
        <v>90000</v>
      </c>
      <c r="E88" s="62">
        <v>33700</v>
      </c>
      <c r="F88" s="62">
        <v>30000</v>
      </c>
      <c r="G88" s="62">
        <v>23000</v>
      </c>
      <c r="H88" s="62"/>
      <c r="I88" s="62"/>
      <c r="J88" s="62">
        <v>25000</v>
      </c>
      <c r="K88" s="62">
        <f t="shared" si="65"/>
        <v>25000</v>
      </c>
      <c r="L88" s="56"/>
      <c r="M88" s="56">
        <v>26000</v>
      </c>
      <c r="N88" s="56">
        <f t="shared" si="51"/>
        <v>26000</v>
      </c>
      <c r="O88" s="675"/>
      <c r="P88" s="56">
        <f t="shared" si="52"/>
        <v>26000</v>
      </c>
      <c r="Q88" s="294">
        <v>25000</v>
      </c>
      <c r="R88" s="294">
        <v>1500</v>
      </c>
      <c r="S88" s="294">
        <v>25000</v>
      </c>
      <c r="T88" s="66">
        <f t="shared" si="66"/>
        <v>26500</v>
      </c>
      <c r="U88" s="66">
        <f t="shared" si="67"/>
        <v>51500</v>
      </c>
      <c r="V88" s="66">
        <f t="shared" si="57"/>
        <v>77500</v>
      </c>
      <c r="W88" s="62">
        <f t="shared" si="64"/>
        <v>81700</v>
      </c>
      <c r="X88" s="66"/>
      <c r="Y88" s="423"/>
      <c r="AA88" s="60">
        <v>51500</v>
      </c>
    </row>
    <row r="89" spans="1:27" ht="28.45" customHeight="1">
      <c r="A89" s="298">
        <f t="shared" si="58"/>
        <v>488</v>
      </c>
      <c r="B89" s="298" t="s">
        <v>798</v>
      </c>
      <c r="C89" s="238">
        <v>15000</v>
      </c>
      <c r="D89" s="238">
        <v>15000</v>
      </c>
      <c r="E89" s="62">
        <v>5000</v>
      </c>
      <c r="F89" s="62">
        <v>5000</v>
      </c>
      <c r="G89" s="62">
        <v>3000</v>
      </c>
      <c r="H89" s="62" t="s">
        <v>799</v>
      </c>
      <c r="I89" s="62"/>
      <c r="J89" s="62">
        <v>5000</v>
      </c>
      <c r="K89" s="62">
        <f t="shared" si="65"/>
        <v>5000</v>
      </c>
      <c r="L89" s="56"/>
      <c r="M89" s="56">
        <v>5000</v>
      </c>
      <c r="N89" s="56">
        <f t="shared" si="51"/>
        <v>5000</v>
      </c>
      <c r="O89" s="312" t="s">
        <v>800</v>
      </c>
      <c r="P89" s="56">
        <f t="shared" si="52"/>
        <v>5000</v>
      </c>
      <c r="Q89" s="507">
        <v>5000</v>
      </c>
      <c r="R89" s="507"/>
      <c r="S89" s="507">
        <v>5000</v>
      </c>
      <c r="T89" s="66">
        <f t="shared" si="66"/>
        <v>5000</v>
      </c>
      <c r="U89" s="66">
        <f t="shared" si="67"/>
        <v>10000</v>
      </c>
      <c r="V89" s="66">
        <f t="shared" si="57"/>
        <v>15000</v>
      </c>
      <c r="W89" s="62">
        <f t="shared" si="64"/>
        <v>13000</v>
      </c>
      <c r="X89" s="586" t="s">
        <v>801</v>
      </c>
      <c r="Y89" s="423" t="s">
        <v>802</v>
      </c>
      <c r="AA89" s="60">
        <v>13000</v>
      </c>
    </row>
    <row r="90" spans="1:27">
      <c r="A90" s="298">
        <f t="shared" si="58"/>
        <v>489</v>
      </c>
      <c r="B90" s="298" t="s">
        <v>636</v>
      </c>
      <c r="C90" s="238">
        <v>0</v>
      </c>
      <c r="D90" s="238">
        <v>15000</v>
      </c>
      <c r="E90" s="62">
        <v>7216</v>
      </c>
      <c r="F90" s="62">
        <v>5000</v>
      </c>
      <c r="G90" s="62"/>
      <c r="H90" s="62"/>
      <c r="I90" s="62">
        <v>6500</v>
      </c>
      <c r="J90" s="62">
        <v>5000</v>
      </c>
      <c r="K90" s="62">
        <f t="shared" si="65"/>
        <v>5000</v>
      </c>
      <c r="L90" s="56">
        <v>6500</v>
      </c>
      <c r="M90" s="56"/>
      <c r="N90" s="56">
        <f t="shared" si="51"/>
        <v>6500</v>
      </c>
      <c r="O90" s="312"/>
      <c r="P90" s="56">
        <f t="shared" si="52"/>
        <v>6500</v>
      </c>
      <c r="Q90" s="294">
        <v>5000</v>
      </c>
      <c r="R90" s="294"/>
      <c r="S90" s="294">
        <v>5000</v>
      </c>
      <c r="T90" s="66">
        <f t="shared" si="66"/>
        <v>5000</v>
      </c>
      <c r="U90" s="66">
        <f t="shared" si="67"/>
        <v>10000</v>
      </c>
      <c r="V90" s="66">
        <f t="shared" si="57"/>
        <v>16500</v>
      </c>
      <c r="W90" s="62">
        <f t="shared" si="64"/>
        <v>12216</v>
      </c>
      <c r="X90" s="66"/>
      <c r="Y90" s="423"/>
      <c r="AA90" s="60">
        <v>10000</v>
      </c>
    </row>
    <row r="91" spans="1:27" ht="36" customHeight="1">
      <c r="A91" s="298">
        <f t="shared" si="58"/>
        <v>490</v>
      </c>
      <c r="B91" s="298" t="s">
        <v>803</v>
      </c>
      <c r="C91" s="238">
        <v>0</v>
      </c>
      <c r="D91" s="238">
        <v>20000</v>
      </c>
      <c r="E91" s="62"/>
      <c r="F91" s="62">
        <v>6500</v>
      </c>
      <c r="G91" s="62">
        <v>3000</v>
      </c>
      <c r="H91" s="62"/>
      <c r="I91" s="62"/>
      <c r="J91" s="62">
        <v>10000</v>
      </c>
      <c r="K91" s="62">
        <f t="shared" si="65"/>
        <v>10000</v>
      </c>
      <c r="L91" s="56"/>
      <c r="M91" s="56">
        <v>5000</v>
      </c>
      <c r="N91" s="56">
        <f t="shared" si="51"/>
        <v>5000</v>
      </c>
      <c r="O91" s="312"/>
      <c r="P91" s="56">
        <f t="shared" si="52"/>
        <v>5000</v>
      </c>
      <c r="Q91" s="294">
        <v>5000</v>
      </c>
      <c r="R91" s="294"/>
      <c r="S91" s="294">
        <v>5000</v>
      </c>
      <c r="T91" s="66">
        <f t="shared" si="66"/>
        <v>5000</v>
      </c>
      <c r="U91" s="66">
        <f t="shared" si="67"/>
        <v>10000</v>
      </c>
      <c r="V91" s="66">
        <f t="shared" si="57"/>
        <v>15000</v>
      </c>
      <c r="W91" s="62">
        <f t="shared" si="64"/>
        <v>13000</v>
      </c>
      <c r="X91" s="66"/>
      <c r="Y91" s="423" t="s">
        <v>804</v>
      </c>
      <c r="AA91" s="60">
        <v>10000</v>
      </c>
    </row>
    <row r="92" spans="1:27" ht="24.4" customHeight="1">
      <c r="A92" s="666" t="s">
        <v>805</v>
      </c>
      <c r="B92" s="298" t="s">
        <v>806</v>
      </c>
      <c r="E92" s="62"/>
      <c r="F92" s="62"/>
      <c r="G92" s="62"/>
      <c r="H92" s="62"/>
      <c r="I92" s="62"/>
      <c r="J92" s="62"/>
      <c r="K92" s="62">
        <f>I94</f>
        <v>6500</v>
      </c>
      <c r="L92" s="56"/>
      <c r="M92" s="56">
        <v>7000</v>
      </c>
      <c r="N92" s="56">
        <f t="shared" si="51"/>
        <v>7000</v>
      </c>
      <c r="O92" s="312"/>
      <c r="P92" s="56">
        <f t="shared" si="52"/>
        <v>7000</v>
      </c>
      <c r="Q92" s="294">
        <v>12000</v>
      </c>
      <c r="R92" s="294"/>
      <c r="S92" s="294">
        <v>12000</v>
      </c>
      <c r="T92" s="66">
        <f t="shared" si="66"/>
        <v>12000</v>
      </c>
      <c r="U92" s="66">
        <f t="shared" si="67"/>
        <v>24000</v>
      </c>
      <c r="V92" s="66">
        <f t="shared" si="57"/>
        <v>31000</v>
      </c>
      <c r="W92" s="62">
        <f t="shared" si="64"/>
        <v>6500</v>
      </c>
      <c r="X92" s="66"/>
      <c r="Y92" s="423"/>
      <c r="AA92" s="60">
        <v>24000</v>
      </c>
    </row>
    <row r="93" spans="1:27" ht="22.45" customHeight="1">
      <c r="A93" s="298">
        <f>A91+1</f>
        <v>491</v>
      </c>
      <c r="B93" s="298" t="s">
        <v>190</v>
      </c>
      <c r="C93" s="400">
        <f>'[4]Salary Summary GC Adopted'!Y15</f>
        <v>756083.81615320384</v>
      </c>
      <c r="D93" s="238">
        <v>1181392.6639458421</v>
      </c>
      <c r="E93" s="298">
        <v>341920</v>
      </c>
      <c r="F93" s="298">
        <v>375081</v>
      </c>
      <c r="G93" s="298">
        <v>394449.75256232801</v>
      </c>
      <c r="H93" s="298"/>
      <c r="I93" s="298"/>
      <c r="J93" s="298">
        <f>'[3]Salary Summary 20 for 2019-2021'!P17</f>
        <v>405298.44953130541</v>
      </c>
      <c r="K93" s="298">
        <f>J93</f>
        <v>405298.44953130541</v>
      </c>
      <c r="L93" s="356"/>
      <c r="M93" s="356">
        <f>'Salary Summary 21 for 2022-2024'!M18</f>
        <v>417988.55682156119</v>
      </c>
      <c r="N93" s="356">
        <f t="shared" si="51"/>
        <v>417988.55682156119</v>
      </c>
      <c r="O93" s="312"/>
      <c r="P93" s="356">
        <f t="shared" si="52"/>
        <v>417988.55682156119</v>
      </c>
      <c r="Q93" s="294">
        <f>'[6]Salary Summary 21 for 2022-2024'!P17</f>
        <v>436708.60530040081</v>
      </c>
      <c r="R93" s="294"/>
      <c r="S93" s="294">
        <f>'[6]Salary Summary 21 for 2022-2024'!T17</f>
        <v>450744.65871318564</v>
      </c>
      <c r="T93" s="66">
        <f t="shared" si="66"/>
        <v>450744.65871318564</v>
      </c>
      <c r="U93" s="66">
        <f t="shared" si="67"/>
        <v>887453.26401358645</v>
      </c>
      <c r="V93" s="66">
        <f t="shared" si="57"/>
        <v>1305441.8208351475</v>
      </c>
      <c r="W93" s="298">
        <f t="shared" si="64"/>
        <v>1141668.2020936334</v>
      </c>
      <c r="X93" s="66"/>
      <c r="Y93" s="423"/>
      <c r="AA93" s="608">
        <v>887453.26401358645</v>
      </c>
    </row>
    <row r="94" spans="1:27" s="434" customFormat="1">
      <c r="A94" s="525">
        <f t="shared" si="58"/>
        <v>492</v>
      </c>
      <c r="B94" s="525" t="s">
        <v>807</v>
      </c>
      <c r="C94" s="92">
        <f>SUM(C80:C93)</f>
        <v>1096383.8161532038</v>
      </c>
      <c r="D94" s="92">
        <v>1681392.6639458421</v>
      </c>
      <c r="E94" s="92">
        <f t="shared" ref="E94:N94" si="68">SUM(E81:E93)</f>
        <v>503825</v>
      </c>
      <c r="F94" s="92">
        <f t="shared" si="68"/>
        <v>541581</v>
      </c>
      <c r="G94" s="92">
        <f>SUM(G81:G93)</f>
        <v>499702.75256232801</v>
      </c>
      <c r="H94" s="92"/>
      <c r="I94" s="92">
        <f t="shared" si="68"/>
        <v>6500</v>
      </c>
      <c r="J94" s="92">
        <f t="shared" si="68"/>
        <v>566298.44953130535</v>
      </c>
      <c r="K94" s="92">
        <f t="shared" si="68"/>
        <v>572798.44953130535</v>
      </c>
      <c r="L94" s="93">
        <f t="shared" si="68"/>
        <v>6500</v>
      </c>
      <c r="M94" s="93">
        <f t="shared" si="68"/>
        <v>566988.55682156119</v>
      </c>
      <c r="N94" s="93">
        <f t="shared" si="68"/>
        <v>573488.55682156119</v>
      </c>
      <c r="O94" s="683"/>
      <c r="P94" s="93">
        <f t="shared" si="52"/>
        <v>573488.55682156119</v>
      </c>
      <c r="Q94" s="95">
        <f>SUM(Q81:Q93)</f>
        <v>593208.60530040087</v>
      </c>
      <c r="R94" s="95">
        <f t="shared" ref="R94:U94" si="69">SUM(R81:R93)</f>
        <v>10500</v>
      </c>
      <c r="S94" s="95">
        <f t="shared" si="69"/>
        <v>607244.65871318569</v>
      </c>
      <c r="T94" s="95">
        <f t="shared" si="69"/>
        <v>617744.65871318569</v>
      </c>
      <c r="U94" s="95">
        <f t="shared" si="69"/>
        <v>1210953.2640135866</v>
      </c>
      <c r="V94" s="95">
        <f t="shared" si="57"/>
        <v>1784441.8208351478</v>
      </c>
      <c r="W94" s="92">
        <f t="shared" si="64"/>
        <v>1576326.2020936334</v>
      </c>
      <c r="X94" s="95"/>
      <c r="Y94" s="342">
        <f t="shared" ref="Y94" si="70">SUM(Y81:Y93)</f>
        <v>0</v>
      </c>
      <c r="AA94" s="98">
        <v>1213953.2640135866</v>
      </c>
    </row>
    <row r="95" spans="1:27">
      <c r="A95" s="298">
        <f t="shared" si="58"/>
        <v>493</v>
      </c>
      <c r="D95" s="238">
        <v>0</v>
      </c>
      <c r="L95" s="239"/>
      <c r="M95" s="239"/>
      <c r="N95" s="239">
        <f t="shared" si="51"/>
        <v>0</v>
      </c>
      <c r="O95" s="312"/>
      <c r="P95" s="239">
        <f t="shared" si="52"/>
        <v>0</v>
      </c>
      <c r="Q95" s="422"/>
      <c r="R95" s="422"/>
      <c r="S95" s="422"/>
      <c r="T95" s="422"/>
      <c r="U95" s="422"/>
      <c r="V95" s="684">
        <f t="shared" si="57"/>
        <v>0</v>
      </c>
      <c r="W95" s="238">
        <f t="shared" si="64"/>
        <v>0</v>
      </c>
      <c r="X95" s="422"/>
      <c r="Y95" s="423"/>
    </row>
    <row r="96" spans="1:27">
      <c r="A96" s="310">
        <f t="shared" si="58"/>
        <v>494</v>
      </c>
      <c r="B96" s="310" t="s">
        <v>808</v>
      </c>
      <c r="D96" s="238">
        <v>0</v>
      </c>
      <c r="L96" s="239"/>
      <c r="M96" s="239"/>
      <c r="N96" s="239">
        <f t="shared" si="51"/>
        <v>0</v>
      </c>
      <c r="O96" s="312"/>
      <c r="P96" s="239">
        <f t="shared" si="52"/>
        <v>0</v>
      </c>
      <c r="Q96" s="422"/>
      <c r="R96" s="422"/>
      <c r="S96" s="422"/>
      <c r="T96" s="422"/>
      <c r="U96" s="422"/>
      <c r="V96" s="684">
        <f t="shared" si="57"/>
        <v>0</v>
      </c>
      <c r="W96" s="238">
        <f t="shared" si="64"/>
        <v>0</v>
      </c>
      <c r="X96" s="422"/>
      <c r="Y96" s="423"/>
    </row>
    <row r="97" spans="1:27">
      <c r="A97" s="298">
        <f t="shared" si="58"/>
        <v>495</v>
      </c>
      <c r="B97" s="298" t="s">
        <v>809</v>
      </c>
      <c r="C97" s="238">
        <v>101000</v>
      </c>
      <c r="D97" s="238">
        <v>101000</v>
      </c>
      <c r="E97" s="62">
        <f>D97/3</f>
        <v>33666.666666666664</v>
      </c>
      <c r="F97" s="62">
        <v>33667</v>
      </c>
      <c r="G97" s="62">
        <v>33667</v>
      </c>
      <c r="H97" s="62" t="s">
        <v>810</v>
      </c>
      <c r="I97" s="62"/>
      <c r="J97" s="62">
        <v>33667</v>
      </c>
      <c r="K97" s="62">
        <f t="shared" ref="K97:K101" si="71">J97</f>
        <v>33667</v>
      </c>
      <c r="L97" s="56"/>
      <c r="M97" s="56">
        <v>33667</v>
      </c>
      <c r="N97" s="56">
        <f t="shared" si="51"/>
        <v>33667</v>
      </c>
      <c r="O97" s="312"/>
      <c r="P97" s="56">
        <f t="shared" si="52"/>
        <v>33667</v>
      </c>
      <c r="Q97" s="294">
        <v>33000</v>
      </c>
      <c r="R97" s="294"/>
      <c r="S97" s="294">
        <v>33000</v>
      </c>
      <c r="T97" s="66">
        <f t="shared" ref="T97:T101" si="72">R97+S97</f>
        <v>33000</v>
      </c>
      <c r="U97" s="66">
        <f>Q97+T97</f>
        <v>66000</v>
      </c>
      <c r="V97" s="685">
        <f t="shared" si="57"/>
        <v>99667</v>
      </c>
      <c r="W97" s="62">
        <f t="shared" si="64"/>
        <v>101000.66666666666</v>
      </c>
      <c r="X97" s="66"/>
      <c r="Y97" s="423"/>
      <c r="AA97" s="60">
        <v>66000</v>
      </c>
    </row>
    <row r="98" spans="1:27">
      <c r="A98" s="298">
        <f t="shared" si="58"/>
        <v>496</v>
      </c>
      <c r="B98" s="298" t="s">
        <v>811</v>
      </c>
      <c r="C98" s="238">
        <v>30000</v>
      </c>
      <c r="D98" s="238">
        <v>0</v>
      </c>
      <c r="E98" s="62"/>
      <c r="F98" s="62"/>
      <c r="G98" s="62"/>
      <c r="H98" s="62"/>
      <c r="I98" s="62"/>
      <c r="J98" s="62"/>
      <c r="K98" s="62">
        <f t="shared" si="71"/>
        <v>0</v>
      </c>
      <c r="L98" s="56"/>
      <c r="M98" s="56"/>
      <c r="N98" s="56">
        <f t="shared" si="51"/>
        <v>0</v>
      </c>
      <c r="O98" s="312"/>
      <c r="P98" s="56">
        <f t="shared" si="52"/>
        <v>0</v>
      </c>
      <c r="Q98" s="294"/>
      <c r="R98" s="294"/>
      <c r="S98" s="294"/>
      <c r="T98" s="66">
        <f t="shared" si="72"/>
        <v>0</v>
      </c>
      <c r="U98" s="66">
        <f>Q98+T98</f>
        <v>0</v>
      </c>
      <c r="V98" s="685">
        <f t="shared" si="57"/>
        <v>0</v>
      </c>
      <c r="W98" s="62">
        <f t="shared" si="64"/>
        <v>0</v>
      </c>
      <c r="X98" s="66"/>
      <c r="Y98" s="423"/>
      <c r="AA98" s="60">
        <v>0</v>
      </c>
    </row>
    <row r="99" spans="1:27">
      <c r="A99" s="298">
        <f t="shared" si="58"/>
        <v>497</v>
      </c>
      <c r="B99" s="298" t="s">
        <v>812</v>
      </c>
      <c r="C99" s="238">
        <v>180000</v>
      </c>
      <c r="D99" s="238">
        <v>150000</v>
      </c>
      <c r="E99" s="62">
        <v>50000</v>
      </c>
      <c r="F99" s="62">
        <v>50000</v>
      </c>
      <c r="G99" s="62">
        <v>40000</v>
      </c>
      <c r="H99" s="62"/>
      <c r="I99" s="62"/>
      <c r="J99" s="62">
        <v>50000</v>
      </c>
      <c r="K99" s="62">
        <f t="shared" si="71"/>
        <v>50000</v>
      </c>
      <c r="L99" s="56"/>
      <c r="M99" s="56">
        <v>50000</v>
      </c>
      <c r="N99" s="56">
        <f t="shared" si="51"/>
        <v>50000</v>
      </c>
      <c r="O99" s="312"/>
      <c r="P99" s="56">
        <f t="shared" si="52"/>
        <v>50000</v>
      </c>
      <c r="Q99" s="507">
        <v>48000</v>
      </c>
      <c r="R99" s="294"/>
      <c r="S99" s="507">
        <v>48000</v>
      </c>
      <c r="T99" s="66">
        <f t="shared" si="72"/>
        <v>48000</v>
      </c>
      <c r="U99" s="66">
        <f>Q99+T99</f>
        <v>96000</v>
      </c>
      <c r="V99" s="685">
        <f t="shared" si="57"/>
        <v>146000</v>
      </c>
      <c r="W99" s="62">
        <f t="shared" si="64"/>
        <v>140000</v>
      </c>
      <c r="X99" s="66"/>
      <c r="Y99" s="423"/>
      <c r="AA99" s="60">
        <v>100000</v>
      </c>
    </row>
    <row r="100" spans="1:27">
      <c r="A100" s="298">
        <f t="shared" si="58"/>
        <v>498</v>
      </c>
      <c r="B100" s="298" t="s">
        <v>813</v>
      </c>
      <c r="C100" s="238">
        <v>25000</v>
      </c>
      <c r="D100" s="238">
        <v>30000</v>
      </c>
      <c r="E100" s="62">
        <v>8000</v>
      </c>
      <c r="F100" s="62">
        <v>10000</v>
      </c>
      <c r="G100" s="62">
        <v>10000</v>
      </c>
      <c r="H100" s="62" t="s">
        <v>810</v>
      </c>
      <c r="I100" s="62"/>
      <c r="J100" s="62">
        <v>10000</v>
      </c>
      <c r="K100" s="62">
        <f t="shared" si="71"/>
        <v>10000</v>
      </c>
      <c r="L100" s="56"/>
      <c r="M100" s="56">
        <v>10000</v>
      </c>
      <c r="N100" s="56">
        <f t="shared" si="51"/>
        <v>10000</v>
      </c>
      <c r="O100" s="312"/>
      <c r="P100" s="56">
        <f t="shared" si="52"/>
        <v>10000</v>
      </c>
      <c r="Q100" s="294">
        <v>10000</v>
      </c>
      <c r="R100" s="294"/>
      <c r="S100" s="294">
        <v>10000</v>
      </c>
      <c r="T100" s="66">
        <f t="shared" si="72"/>
        <v>10000</v>
      </c>
      <c r="U100" s="66">
        <f>Q100+T100</f>
        <v>20000</v>
      </c>
      <c r="V100" s="685">
        <f t="shared" si="57"/>
        <v>30000</v>
      </c>
      <c r="W100" s="62">
        <f t="shared" si="64"/>
        <v>28000</v>
      </c>
      <c r="X100" s="66"/>
      <c r="Y100" s="423"/>
      <c r="AA100" s="60">
        <v>20000</v>
      </c>
    </row>
    <row r="101" spans="1:27">
      <c r="A101" s="686">
        <f t="shared" si="58"/>
        <v>499</v>
      </c>
      <c r="B101" s="687" t="s">
        <v>814</v>
      </c>
      <c r="D101" s="238">
        <v>9000</v>
      </c>
      <c r="E101" s="62"/>
      <c r="F101" s="62">
        <v>3000</v>
      </c>
      <c r="G101" s="62">
        <v>0</v>
      </c>
      <c r="H101" s="62" t="s">
        <v>815</v>
      </c>
      <c r="I101" s="62"/>
      <c r="J101" s="62">
        <v>3000</v>
      </c>
      <c r="K101" s="62">
        <f t="shared" si="71"/>
        <v>3000</v>
      </c>
      <c r="L101" s="56"/>
      <c r="M101" s="56">
        <v>3000</v>
      </c>
      <c r="N101" s="56">
        <f t="shared" si="51"/>
        <v>3000</v>
      </c>
      <c r="O101" s="312"/>
      <c r="P101" s="56">
        <f t="shared" si="52"/>
        <v>3000</v>
      </c>
      <c r="Q101" s="294">
        <v>3000</v>
      </c>
      <c r="R101" s="294"/>
      <c r="S101" s="294">
        <v>3000</v>
      </c>
      <c r="T101" s="66">
        <f t="shared" si="72"/>
        <v>3000</v>
      </c>
      <c r="U101" s="66">
        <f>Q101+T101</f>
        <v>6000</v>
      </c>
      <c r="V101" s="685">
        <f t="shared" si="57"/>
        <v>9000</v>
      </c>
      <c r="W101" s="62">
        <f t="shared" si="64"/>
        <v>3000</v>
      </c>
      <c r="X101" s="66"/>
      <c r="Y101" s="423"/>
      <c r="AA101" s="60">
        <v>6000</v>
      </c>
    </row>
    <row r="102" spans="1:27" s="434" customFormat="1">
      <c r="A102" s="525">
        <f t="shared" si="58"/>
        <v>500</v>
      </c>
      <c r="B102" s="525" t="s">
        <v>816</v>
      </c>
      <c r="C102" s="92">
        <f>SUM(C97:C100)</f>
        <v>336000</v>
      </c>
      <c r="D102" s="92">
        <f>SUM(D97:D101)</f>
        <v>290000</v>
      </c>
      <c r="E102" s="92">
        <f t="shared" ref="E102:N102" si="73">SUM(E97:E101)</f>
        <v>91666.666666666657</v>
      </c>
      <c r="F102" s="92">
        <f t="shared" si="73"/>
        <v>96667</v>
      </c>
      <c r="G102" s="92">
        <f t="shared" si="73"/>
        <v>83667</v>
      </c>
      <c r="H102" s="92">
        <f t="shared" si="73"/>
        <v>0</v>
      </c>
      <c r="I102" s="92">
        <f t="shared" si="73"/>
        <v>0</v>
      </c>
      <c r="J102" s="92">
        <f t="shared" si="73"/>
        <v>96667</v>
      </c>
      <c r="K102" s="92">
        <f t="shared" si="73"/>
        <v>96667</v>
      </c>
      <c r="L102" s="93">
        <f t="shared" si="73"/>
        <v>0</v>
      </c>
      <c r="M102" s="93">
        <f t="shared" si="73"/>
        <v>96667</v>
      </c>
      <c r="N102" s="93">
        <f t="shared" si="73"/>
        <v>96667</v>
      </c>
      <c r="O102" s="518"/>
      <c r="P102" s="93">
        <f t="shared" si="52"/>
        <v>96667</v>
      </c>
      <c r="Q102" s="95">
        <f>SUM(Q97:Q101)</f>
        <v>94000</v>
      </c>
      <c r="R102" s="95">
        <f t="shared" ref="R102:U102" si="74">SUM(R97:R101)</f>
        <v>0</v>
      </c>
      <c r="S102" s="95">
        <f t="shared" si="74"/>
        <v>94000</v>
      </c>
      <c r="T102" s="95">
        <f t="shared" si="74"/>
        <v>94000</v>
      </c>
      <c r="U102" s="95">
        <f t="shared" si="74"/>
        <v>188000</v>
      </c>
      <c r="V102" s="95">
        <f t="shared" si="57"/>
        <v>284667</v>
      </c>
      <c r="W102" s="92">
        <f t="shared" si="64"/>
        <v>272000.66666666663</v>
      </c>
      <c r="X102" s="95"/>
      <c r="Y102" s="342">
        <f t="shared" ref="Y102" si="75">SUM(Y97:Y101)</f>
        <v>0</v>
      </c>
      <c r="AA102" s="98">
        <v>192000</v>
      </c>
    </row>
    <row r="103" spans="1:27">
      <c r="A103" s="298">
        <f t="shared" si="58"/>
        <v>501</v>
      </c>
      <c r="D103" s="238">
        <v>0</v>
      </c>
      <c r="L103" s="239"/>
      <c r="M103" s="239"/>
      <c r="N103" s="239">
        <f t="shared" si="51"/>
        <v>0</v>
      </c>
      <c r="O103" s="312"/>
      <c r="P103" s="239">
        <f t="shared" si="52"/>
        <v>0</v>
      </c>
      <c r="Q103" s="422"/>
      <c r="R103" s="422"/>
      <c r="S103" s="422"/>
      <c r="T103" s="422"/>
      <c r="U103" s="422"/>
      <c r="V103" s="684">
        <f t="shared" si="57"/>
        <v>0</v>
      </c>
      <c r="W103" s="238">
        <f t="shared" si="64"/>
        <v>0</v>
      </c>
      <c r="X103" s="422"/>
      <c r="Y103" s="423"/>
    </row>
    <row r="104" spans="1:27">
      <c r="A104" s="310">
        <f t="shared" si="58"/>
        <v>502</v>
      </c>
      <c r="B104" s="310" t="s">
        <v>817</v>
      </c>
      <c r="D104" s="238">
        <v>0</v>
      </c>
      <c r="L104" s="239"/>
      <c r="M104" s="239"/>
      <c r="N104" s="239">
        <f t="shared" si="51"/>
        <v>0</v>
      </c>
      <c r="O104" s="332"/>
      <c r="P104" s="239">
        <f t="shared" si="52"/>
        <v>0</v>
      </c>
      <c r="Q104" s="422"/>
      <c r="R104" s="422"/>
      <c r="S104" s="422"/>
      <c r="T104" s="422"/>
      <c r="U104" s="422"/>
      <c r="V104" s="684">
        <f t="shared" si="57"/>
        <v>0</v>
      </c>
      <c r="W104" s="238">
        <f t="shared" si="64"/>
        <v>0</v>
      </c>
      <c r="X104" s="422"/>
      <c r="Y104" s="423"/>
    </row>
    <row r="105" spans="1:27">
      <c r="A105" s="298">
        <f t="shared" si="58"/>
        <v>503</v>
      </c>
      <c r="B105" s="298" t="s">
        <v>818</v>
      </c>
      <c r="C105" s="238">
        <v>3111859</v>
      </c>
      <c r="D105" s="238">
        <v>2407187.7938875472</v>
      </c>
      <c r="E105" s="62">
        <v>1037286</v>
      </c>
      <c r="F105" s="62">
        <v>1037286</v>
      </c>
      <c r="G105" s="62">
        <v>1037286.3333333334</v>
      </c>
      <c r="H105" s="62"/>
      <c r="I105" s="62"/>
      <c r="J105" s="62">
        <v>1037286.3333333334</v>
      </c>
      <c r="K105" s="62">
        <f t="shared" ref="K105:K112" si="76">J105</f>
        <v>1037286.3333333334</v>
      </c>
      <c r="L105" s="56"/>
      <c r="M105" s="56">
        <v>1037286.3333333334</v>
      </c>
      <c r="N105" s="56">
        <f t="shared" si="51"/>
        <v>1037286.3333333334</v>
      </c>
      <c r="O105" s="312"/>
      <c r="P105" s="56">
        <f t="shared" si="52"/>
        <v>1037286.3333333334</v>
      </c>
      <c r="Q105" s="583">
        <f>P105</f>
        <v>1037286.3333333334</v>
      </c>
      <c r="R105" s="422"/>
      <c r="S105" s="583">
        <f>Q105</f>
        <v>1037286.3333333334</v>
      </c>
      <c r="T105" s="66">
        <f t="shared" ref="T105:T111" si="77">R105+S105</f>
        <v>1037286.3333333334</v>
      </c>
      <c r="U105" s="66">
        <f t="shared" ref="U105:U112" si="78">Q105+T105</f>
        <v>2074572.6666666667</v>
      </c>
      <c r="V105" s="685">
        <f t="shared" si="57"/>
        <v>3111859</v>
      </c>
      <c r="W105" s="62">
        <f t="shared" si="64"/>
        <v>3111858.666666667</v>
      </c>
      <c r="X105" s="66"/>
      <c r="Y105" s="423"/>
      <c r="AA105" s="60">
        <v>2074572.6666666667</v>
      </c>
    </row>
    <row r="106" spans="1:27">
      <c r="A106" s="298">
        <f t="shared" si="58"/>
        <v>504</v>
      </c>
      <c r="B106" s="298" t="s">
        <v>819</v>
      </c>
      <c r="C106" s="238">
        <v>81384</v>
      </c>
      <c r="D106" s="238">
        <v>81384</v>
      </c>
      <c r="E106" s="62">
        <f>D106/3</f>
        <v>27128</v>
      </c>
      <c r="F106" s="62">
        <v>27128</v>
      </c>
      <c r="G106" s="62">
        <v>27128</v>
      </c>
      <c r="H106" s="62"/>
      <c r="I106" s="62"/>
      <c r="J106" s="62">
        <v>27128</v>
      </c>
      <c r="K106" s="62">
        <f t="shared" si="76"/>
        <v>27128</v>
      </c>
      <c r="L106" s="56"/>
      <c r="M106" s="56"/>
      <c r="N106" s="56"/>
      <c r="O106" s="312"/>
      <c r="P106" s="56"/>
      <c r="Q106" s="294"/>
      <c r="R106" s="294"/>
      <c r="S106" s="294"/>
      <c r="T106" s="66">
        <f t="shared" si="77"/>
        <v>0</v>
      </c>
      <c r="U106" s="66">
        <f t="shared" si="78"/>
        <v>0</v>
      </c>
      <c r="V106" s="685">
        <f t="shared" si="57"/>
        <v>0</v>
      </c>
      <c r="W106" s="62">
        <f t="shared" si="64"/>
        <v>81384</v>
      </c>
      <c r="X106" s="66"/>
      <c r="Y106" s="423"/>
      <c r="AA106" s="60">
        <v>0</v>
      </c>
    </row>
    <row r="107" spans="1:27">
      <c r="A107" s="298">
        <f t="shared" si="58"/>
        <v>505</v>
      </c>
      <c r="B107" s="298" t="s">
        <v>820</v>
      </c>
      <c r="C107" s="238">
        <v>22447</v>
      </c>
      <c r="D107" s="238">
        <v>0</v>
      </c>
      <c r="E107" s="62"/>
      <c r="F107" s="62">
        <v>0</v>
      </c>
      <c r="G107" s="62">
        <v>0</v>
      </c>
      <c r="H107" s="62"/>
      <c r="I107" s="62"/>
      <c r="J107" s="62">
        <v>0</v>
      </c>
      <c r="K107" s="62">
        <f t="shared" si="76"/>
        <v>0</v>
      </c>
      <c r="L107" s="56"/>
      <c r="M107" s="56">
        <v>0</v>
      </c>
      <c r="N107" s="56">
        <f t="shared" si="51"/>
        <v>0</v>
      </c>
      <c r="O107" s="332"/>
      <c r="P107" s="56">
        <f t="shared" ref="P107:P113" si="79">N107</f>
        <v>0</v>
      </c>
      <c r="Q107" s="294"/>
      <c r="R107" s="294"/>
      <c r="S107" s="294"/>
      <c r="T107" s="66">
        <f t="shared" si="77"/>
        <v>0</v>
      </c>
      <c r="U107" s="66">
        <f t="shared" si="78"/>
        <v>0</v>
      </c>
      <c r="V107" s="685">
        <f t="shared" si="57"/>
        <v>0</v>
      </c>
      <c r="W107" s="62">
        <f t="shared" si="64"/>
        <v>0</v>
      </c>
      <c r="X107" s="66"/>
      <c r="Y107" s="423"/>
      <c r="AA107" s="60">
        <v>0</v>
      </c>
    </row>
    <row r="108" spans="1:27">
      <c r="A108" s="298">
        <f t="shared" si="58"/>
        <v>506</v>
      </c>
      <c r="B108" s="298" t="s">
        <v>821</v>
      </c>
      <c r="C108" s="238">
        <v>122505</v>
      </c>
      <c r="D108" s="238">
        <v>0</v>
      </c>
      <c r="E108" s="62"/>
      <c r="F108" s="62"/>
      <c r="G108" s="62"/>
      <c r="H108" s="62"/>
      <c r="I108" s="62"/>
      <c r="J108" s="62">
        <v>0</v>
      </c>
      <c r="K108" s="62">
        <f t="shared" si="76"/>
        <v>0</v>
      </c>
      <c r="L108" s="56"/>
      <c r="M108" s="56">
        <v>0</v>
      </c>
      <c r="N108" s="56">
        <f t="shared" si="51"/>
        <v>0</v>
      </c>
      <c r="O108" s="312"/>
      <c r="P108" s="56">
        <f t="shared" si="79"/>
        <v>0</v>
      </c>
      <c r="Q108" s="294"/>
      <c r="R108" s="294"/>
      <c r="S108" s="294"/>
      <c r="T108" s="66">
        <f t="shared" si="77"/>
        <v>0</v>
      </c>
      <c r="U108" s="66">
        <f t="shared" si="78"/>
        <v>0</v>
      </c>
      <c r="V108" s="685">
        <f t="shared" si="57"/>
        <v>0</v>
      </c>
      <c r="W108" s="62">
        <f t="shared" si="64"/>
        <v>0</v>
      </c>
      <c r="X108" s="66"/>
      <c r="Y108" s="423"/>
      <c r="AA108" s="60">
        <v>0</v>
      </c>
    </row>
    <row r="109" spans="1:27">
      <c r="A109" s="298">
        <f t="shared" si="58"/>
        <v>507</v>
      </c>
      <c r="B109" s="298" t="s">
        <v>822</v>
      </c>
      <c r="C109" s="238">
        <v>131877</v>
      </c>
      <c r="D109" s="238">
        <v>0</v>
      </c>
      <c r="E109" s="62"/>
      <c r="F109" s="62"/>
      <c r="G109" s="62"/>
      <c r="H109" s="62"/>
      <c r="I109" s="62"/>
      <c r="J109" s="62">
        <v>0</v>
      </c>
      <c r="K109" s="62">
        <f t="shared" si="76"/>
        <v>0</v>
      </c>
      <c r="L109" s="56"/>
      <c r="M109" s="56">
        <v>0</v>
      </c>
      <c r="N109" s="56">
        <f t="shared" si="51"/>
        <v>0</v>
      </c>
      <c r="O109" s="312"/>
      <c r="P109" s="56">
        <f t="shared" si="79"/>
        <v>0</v>
      </c>
      <c r="Q109" s="294"/>
      <c r="R109" s="294"/>
      <c r="S109" s="294"/>
      <c r="T109" s="66">
        <f t="shared" si="77"/>
        <v>0</v>
      </c>
      <c r="U109" s="66">
        <f t="shared" si="78"/>
        <v>0</v>
      </c>
      <c r="V109" s="685">
        <f t="shared" si="57"/>
        <v>0</v>
      </c>
      <c r="W109" s="62">
        <f t="shared" si="64"/>
        <v>0</v>
      </c>
      <c r="X109" s="66"/>
      <c r="Y109" s="423"/>
      <c r="AA109" s="60">
        <v>0</v>
      </c>
    </row>
    <row r="110" spans="1:27">
      <c r="A110" s="298">
        <f t="shared" si="58"/>
        <v>508</v>
      </c>
      <c r="B110" s="298" t="s">
        <v>823</v>
      </c>
      <c r="C110" s="238">
        <v>17377</v>
      </c>
      <c r="D110" s="238">
        <v>0</v>
      </c>
      <c r="E110" s="62"/>
      <c r="F110" s="62"/>
      <c r="G110" s="62"/>
      <c r="H110" s="62"/>
      <c r="I110" s="62"/>
      <c r="J110" s="62">
        <v>0</v>
      </c>
      <c r="K110" s="62">
        <f t="shared" si="76"/>
        <v>0</v>
      </c>
      <c r="L110" s="56"/>
      <c r="M110" s="56">
        <v>0</v>
      </c>
      <c r="N110" s="56">
        <f t="shared" si="51"/>
        <v>0</v>
      </c>
      <c r="O110" s="312"/>
      <c r="P110" s="56">
        <f t="shared" si="79"/>
        <v>0</v>
      </c>
      <c r="Q110" s="294"/>
      <c r="R110" s="294"/>
      <c r="S110" s="294"/>
      <c r="T110" s="66">
        <f t="shared" si="77"/>
        <v>0</v>
      </c>
      <c r="U110" s="66">
        <f t="shared" si="78"/>
        <v>0</v>
      </c>
      <c r="V110" s="685">
        <f t="shared" si="57"/>
        <v>0</v>
      </c>
      <c r="W110" s="62">
        <f t="shared" si="64"/>
        <v>0</v>
      </c>
      <c r="X110" s="66"/>
      <c r="Y110" s="423"/>
      <c r="AA110" s="60">
        <v>0</v>
      </c>
    </row>
    <row r="111" spans="1:27">
      <c r="A111" s="298">
        <f t="shared" si="58"/>
        <v>509</v>
      </c>
      <c r="B111" s="298" t="s">
        <v>824</v>
      </c>
      <c r="C111" s="62">
        <f>SUM(C105:C110)</f>
        <v>3487449</v>
      </c>
      <c r="D111" s="62">
        <v>2488571.7938875472</v>
      </c>
      <c r="E111" s="62">
        <f>SUM(E105:E110)</f>
        <v>1064414</v>
      </c>
      <c r="F111" s="62">
        <f t="shared" ref="F111" si="80">SUM(F105:F110)</f>
        <v>1064414</v>
      </c>
      <c r="G111" s="62">
        <v>1064416.3333333335</v>
      </c>
      <c r="H111" s="62"/>
      <c r="I111" s="62"/>
      <c r="J111" s="62">
        <v>1064416.3333333335</v>
      </c>
      <c r="K111" s="62">
        <f t="shared" si="76"/>
        <v>1064416.3333333335</v>
      </c>
      <c r="L111" s="56"/>
      <c r="M111" s="56">
        <f>M105</f>
        <v>1037286.3333333334</v>
      </c>
      <c r="N111" s="56">
        <f t="shared" si="51"/>
        <v>1037286.3333333334</v>
      </c>
      <c r="O111" s="332"/>
      <c r="P111" s="56">
        <f t="shared" si="79"/>
        <v>1037286.3333333334</v>
      </c>
      <c r="Q111" s="294">
        <f>SUM(Q105:Q110)</f>
        <v>1037286.3333333334</v>
      </c>
      <c r="R111" s="294">
        <f t="shared" ref="R111:S111" si="81">SUM(R105:R110)</f>
        <v>0</v>
      </c>
      <c r="S111" s="294">
        <f t="shared" si="81"/>
        <v>1037286.3333333334</v>
      </c>
      <c r="T111" s="66">
        <f t="shared" si="77"/>
        <v>1037286.3333333334</v>
      </c>
      <c r="U111" s="66">
        <f t="shared" si="78"/>
        <v>2074572.6666666667</v>
      </c>
      <c r="V111" s="685">
        <f t="shared" si="57"/>
        <v>3111859</v>
      </c>
      <c r="W111" s="62">
        <f t="shared" si="64"/>
        <v>3193246.666666667</v>
      </c>
      <c r="X111" s="66"/>
      <c r="Y111" s="423"/>
      <c r="AA111" s="60">
        <v>2074572.6666666667</v>
      </c>
    </row>
    <row r="112" spans="1:27">
      <c r="A112" s="298">
        <f t="shared" si="58"/>
        <v>510</v>
      </c>
      <c r="B112" s="298" t="s">
        <v>825</v>
      </c>
      <c r="C112" s="238">
        <f>-C111</f>
        <v>-3487449</v>
      </c>
      <c r="D112" s="238">
        <v>-2488571.7938875472</v>
      </c>
      <c r="E112" s="238">
        <f t="shared" ref="E112:F112" si="82">-E111</f>
        <v>-1064414</v>
      </c>
      <c r="F112" s="238">
        <f t="shared" si="82"/>
        <v>-1064414</v>
      </c>
      <c r="G112" s="62">
        <v>-1064416.3333333335</v>
      </c>
      <c r="J112" s="238">
        <v>-1064416.3333333335</v>
      </c>
      <c r="K112" s="62">
        <f t="shared" si="76"/>
        <v>-1064416.3333333335</v>
      </c>
      <c r="L112" s="239"/>
      <c r="M112" s="56">
        <f>-M111</f>
        <v>-1037286.3333333334</v>
      </c>
      <c r="N112" s="239">
        <f t="shared" si="51"/>
        <v>-1037286.3333333334</v>
      </c>
      <c r="O112" s="312"/>
      <c r="P112" s="239">
        <f t="shared" si="79"/>
        <v>-1037286.3333333334</v>
      </c>
      <c r="Q112" s="294">
        <f>-Q111</f>
        <v>-1037286.3333333334</v>
      </c>
      <c r="R112" s="294">
        <f t="shared" ref="R112:T112" si="83">-R111</f>
        <v>0</v>
      </c>
      <c r="S112" s="294">
        <f t="shared" si="83"/>
        <v>-1037286.3333333334</v>
      </c>
      <c r="T112" s="294">
        <f t="shared" si="83"/>
        <v>-1037286.3333333334</v>
      </c>
      <c r="U112" s="66">
        <f t="shared" si="78"/>
        <v>-2074572.6666666667</v>
      </c>
      <c r="V112" s="685">
        <f t="shared" si="57"/>
        <v>-3111859</v>
      </c>
      <c r="W112" s="238">
        <f t="shared" si="64"/>
        <v>-3193246.666666667</v>
      </c>
      <c r="X112" s="66"/>
      <c r="Y112" s="423"/>
      <c r="AA112" s="346">
        <v>-2074572.6666666667</v>
      </c>
    </row>
    <row r="113" spans="1:166" s="692" customFormat="1" ht="14.65" thickBot="1">
      <c r="A113" s="426">
        <f t="shared" si="58"/>
        <v>511</v>
      </c>
      <c r="B113" s="426" t="s">
        <v>826</v>
      </c>
      <c r="C113" s="150">
        <f>+C47+C111+C112+C102+C94+C39+C30+C13+C78+C68+C58</f>
        <v>17246523.128209531</v>
      </c>
      <c r="D113" s="150">
        <f t="shared" ref="D113:F113" si="84">+D47+D111+D112+D102+D94+D39+D30+D13+D78+D68+D58</f>
        <v>16885196.778206419</v>
      </c>
      <c r="E113" s="150">
        <f t="shared" si="84"/>
        <v>5196559.666666666</v>
      </c>
      <c r="F113" s="150">
        <f t="shared" si="84"/>
        <v>5946762.3221864076</v>
      </c>
      <c r="G113" s="150">
        <f>+G47+G111+G112+G102+G94+G39+G30+G13+G78+G68+G58</f>
        <v>5050462.0747487349</v>
      </c>
      <c r="H113" s="150"/>
      <c r="I113" s="150">
        <f t="shared" ref="I113:N113" si="85">+I47+I111+I112+I102+I94+I39+I30+I13+I78+I68+I58</f>
        <v>91614</v>
      </c>
      <c r="J113" s="150">
        <f t="shared" si="85"/>
        <v>5683318.6238934696</v>
      </c>
      <c r="K113" s="150">
        <f t="shared" si="85"/>
        <v>5774932.6238934696</v>
      </c>
      <c r="L113" s="152">
        <f t="shared" si="85"/>
        <v>91614</v>
      </c>
      <c r="M113" s="152">
        <f t="shared" si="85"/>
        <v>6199833.0028398</v>
      </c>
      <c r="N113" s="152">
        <f t="shared" si="85"/>
        <v>6291447.0028398</v>
      </c>
      <c r="O113" s="688"/>
      <c r="P113" s="152">
        <f t="shared" si="79"/>
        <v>6291447.0028398</v>
      </c>
      <c r="Q113" s="689">
        <f>+Q47+Q111+Q112+Q102+Q94+Q39+Q30+Q13+Q78+Q68+Q58</f>
        <v>5995846.2829217138</v>
      </c>
      <c r="R113" s="689">
        <f t="shared" ref="R113:U113" si="86">+R47+R111+R112+R102+R94+R39+R30+R13+R78+R68+R58</f>
        <v>77500</v>
      </c>
      <c r="S113" s="689">
        <f t="shared" si="86"/>
        <v>6094105.8321297169</v>
      </c>
      <c r="T113" s="689">
        <f t="shared" si="86"/>
        <v>6175605.8321297169</v>
      </c>
      <c r="U113" s="689">
        <f t="shared" si="86"/>
        <v>12171452.11505143</v>
      </c>
      <c r="V113" s="689">
        <f t="shared" si="57"/>
        <v>18462899.11789123</v>
      </c>
      <c r="W113" s="150">
        <f t="shared" si="64"/>
        <v>16021954.36530887</v>
      </c>
      <c r="X113" s="689"/>
      <c r="Y113" s="690">
        <f t="shared" ref="Y113" si="87">+Y47+Y111+Y112+Y102+Y94+Y39+Y30+Y13+Y78+Y68+Y58</f>
        <v>0</v>
      </c>
      <c r="Z113" s="434"/>
      <c r="AA113" s="691">
        <v>12550962.11505143</v>
      </c>
      <c r="AB113" s="434"/>
      <c r="AC113" s="434"/>
      <c r="AD113" s="434"/>
      <c r="AE113" s="434"/>
      <c r="AF113" s="434"/>
      <c r="AG113" s="434"/>
      <c r="AH113" s="434"/>
      <c r="AI113" s="434"/>
      <c r="AJ113" s="434"/>
      <c r="AK113" s="434"/>
      <c r="AL113" s="434"/>
      <c r="AM113" s="434"/>
      <c r="AN113" s="434"/>
      <c r="AO113" s="434"/>
      <c r="AP113" s="434"/>
      <c r="AQ113" s="434"/>
      <c r="AR113" s="434"/>
      <c r="AS113" s="434"/>
      <c r="AT113" s="434"/>
      <c r="AU113" s="434"/>
      <c r="AV113" s="434"/>
      <c r="AW113" s="434"/>
      <c r="AX113" s="434"/>
      <c r="AY113" s="434"/>
      <c r="AZ113" s="434"/>
      <c r="BA113" s="434"/>
      <c r="BB113" s="434"/>
      <c r="BC113" s="434"/>
      <c r="BD113" s="434"/>
      <c r="BE113" s="434"/>
      <c r="BF113" s="434"/>
      <c r="BG113" s="434"/>
      <c r="BH113" s="434"/>
      <c r="BI113" s="434"/>
      <c r="BJ113" s="434"/>
      <c r="BK113" s="434"/>
      <c r="BL113" s="434"/>
      <c r="BM113" s="434"/>
      <c r="BN113" s="434"/>
      <c r="BO113" s="434"/>
      <c r="BP113" s="434"/>
      <c r="BQ113" s="434"/>
      <c r="BR113" s="434"/>
      <c r="BS113" s="434"/>
      <c r="BT113" s="434"/>
      <c r="BU113" s="434"/>
      <c r="BV113" s="434"/>
      <c r="BW113" s="434"/>
      <c r="BX113" s="434"/>
      <c r="BY113" s="434"/>
      <c r="BZ113" s="434"/>
      <c r="CA113" s="434"/>
      <c r="CB113" s="434"/>
      <c r="CC113" s="434"/>
      <c r="CD113" s="434"/>
      <c r="CE113" s="434"/>
      <c r="CF113" s="434"/>
      <c r="CG113" s="434"/>
      <c r="CH113" s="434"/>
      <c r="CI113" s="434"/>
      <c r="CJ113" s="434"/>
      <c r="CK113" s="434"/>
      <c r="CL113" s="434"/>
      <c r="CM113" s="434"/>
      <c r="CN113" s="434"/>
      <c r="CO113" s="434"/>
      <c r="CP113" s="434"/>
      <c r="CQ113" s="434"/>
      <c r="CR113" s="434"/>
      <c r="CS113" s="434"/>
      <c r="CT113" s="434"/>
      <c r="CU113" s="434"/>
      <c r="CV113" s="434"/>
      <c r="CW113" s="434"/>
      <c r="CX113" s="434"/>
      <c r="CY113" s="434"/>
      <c r="CZ113" s="434"/>
      <c r="DA113" s="434"/>
      <c r="DB113" s="434"/>
      <c r="DC113" s="434"/>
      <c r="DD113" s="434"/>
      <c r="DE113" s="434"/>
      <c r="DF113" s="434"/>
      <c r="DG113" s="434"/>
      <c r="DH113" s="434"/>
      <c r="DI113" s="434"/>
      <c r="DJ113" s="434"/>
      <c r="DK113" s="434"/>
      <c r="DL113" s="434"/>
      <c r="DM113" s="434"/>
      <c r="DN113" s="434"/>
      <c r="DO113" s="434"/>
      <c r="DP113" s="434"/>
      <c r="DQ113" s="434"/>
      <c r="DR113" s="434"/>
      <c r="DS113" s="434"/>
      <c r="DT113" s="434"/>
      <c r="DU113" s="434"/>
      <c r="DV113" s="434"/>
      <c r="DW113" s="434"/>
      <c r="DX113" s="434"/>
      <c r="DY113" s="434"/>
      <c r="DZ113" s="434"/>
      <c r="EA113" s="434"/>
      <c r="EB113" s="434"/>
      <c r="EC113" s="434"/>
      <c r="ED113" s="434"/>
      <c r="EE113" s="434"/>
      <c r="EF113" s="434"/>
      <c r="EG113" s="434"/>
      <c r="EH113" s="434"/>
      <c r="EI113" s="434"/>
      <c r="EJ113" s="434"/>
      <c r="EK113" s="434"/>
      <c r="EL113" s="434"/>
      <c r="EM113" s="434"/>
      <c r="EN113" s="434"/>
      <c r="EO113" s="434"/>
      <c r="EP113" s="434"/>
      <c r="EQ113" s="434"/>
      <c r="ER113" s="434"/>
      <c r="ES113" s="434"/>
      <c r="ET113" s="434"/>
      <c r="EU113" s="434"/>
      <c r="EV113" s="434"/>
      <c r="EW113" s="434"/>
      <c r="EX113" s="434"/>
      <c r="EY113" s="434"/>
      <c r="EZ113" s="434"/>
      <c r="FA113" s="434"/>
      <c r="FB113" s="434"/>
      <c r="FC113" s="434"/>
      <c r="FD113" s="434"/>
      <c r="FE113" s="434"/>
      <c r="FF113" s="434"/>
      <c r="FG113" s="434"/>
      <c r="FH113" s="434"/>
      <c r="FI113" s="434"/>
      <c r="FJ113" s="434"/>
    </row>
    <row r="114" spans="1:166" s="434" customFormat="1">
      <c r="A114" s="310"/>
      <c r="B114" s="310"/>
      <c r="C114" s="577"/>
      <c r="D114" s="577"/>
      <c r="E114" s="577"/>
      <c r="F114" s="577"/>
      <c r="G114" s="577"/>
      <c r="H114" s="577"/>
      <c r="I114" s="577"/>
      <c r="J114" s="577"/>
      <c r="K114" s="577"/>
      <c r="L114" s="577"/>
      <c r="M114" s="577"/>
      <c r="N114" s="577"/>
      <c r="O114" s="693"/>
      <c r="P114" s="577"/>
      <c r="V114" s="435">
        <f t="shared" ref="V114:V149" si="88">R114+M114</f>
        <v>0</v>
      </c>
      <c r="W114" s="577"/>
      <c r="Y114" s="436"/>
      <c r="AA114" s="582"/>
    </row>
    <row r="115" spans="1:166" s="434" customFormat="1">
      <c r="A115" s="310"/>
      <c r="B115" s="310"/>
      <c r="C115" s="577"/>
      <c r="D115" s="577"/>
      <c r="E115" s="577"/>
      <c r="F115" s="577">
        <f>SUBTOTAL(9,F10:F33)</f>
        <v>2346081.208754885</v>
      </c>
      <c r="G115" s="577"/>
      <c r="I115" s="577"/>
      <c r="J115" s="577"/>
      <c r="K115" s="577"/>
      <c r="L115" s="577"/>
      <c r="M115" s="577"/>
      <c r="N115" s="577"/>
      <c r="O115" s="693"/>
      <c r="P115" s="577"/>
      <c r="V115" s="435">
        <f t="shared" si="88"/>
        <v>0</v>
      </c>
      <c r="W115" s="577"/>
      <c r="X115" s="434">
        <f>U113-AA113</f>
        <v>-379510</v>
      </c>
      <c r="Y115" s="436"/>
      <c r="AA115" s="582"/>
    </row>
    <row r="116" spans="1:166" s="434" customFormat="1">
      <c r="A116" s="310"/>
      <c r="B116" s="310"/>
      <c r="C116" s="577"/>
      <c r="D116" s="577"/>
      <c r="E116" s="577"/>
      <c r="F116" s="577">
        <v>104333</v>
      </c>
      <c r="G116" s="577"/>
      <c r="H116" s="577"/>
      <c r="I116" s="577"/>
      <c r="J116" s="577"/>
      <c r="K116" s="577"/>
      <c r="L116" s="577"/>
      <c r="M116" s="577"/>
      <c r="N116" s="577"/>
      <c r="O116" s="693"/>
      <c r="P116" s="577"/>
      <c r="V116" s="435">
        <f t="shared" si="88"/>
        <v>0</v>
      </c>
      <c r="W116" s="577"/>
      <c r="Y116" s="436"/>
      <c r="AA116" s="582"/>
    </row>
    <row r="117" spans="1:166" s="434" customFormat="1">
      <c r="A117" s="310"/>
      <c r="B117" s="310"/>
      <c r="C117" s="577"/>
      <c r="D117" s="577"/>
      <c r="E117" s="577"/>
      <c r="F117" s="577"/>
      <c r="G117" s="577"/>
      <c r="H117" s="577"/>
      <c r="I117" s="577"/>
      <c r="J117" s="577"/>
      <c r="K117" s="577"/>
      <c r="L117" s="577"/>
      <c r="M117" s="577"/>
      <c r="N117" s="577"/>
      <c r="O117" s="693"/>
      <c r="P117" s="577"/>
      <c r="V117" s="435">
        <f t="shared" si="88"/>
        <v>0</v>
      </c>
      <c r="W117" s="577"/>
      <c r="Y117" s="436"/>
      <c r="AA117" s="582"/>
    </row>
    <row r="118" spans="1:166">
      <c r="C118" s="62"/>
      <c r="D118" s="62"/>
      <c r="E118" s="62"/>
      <c r="F118" s="62"/>
      <c r="G118" s="62"/>
      <c r="H118" s="62"/>
      <c r="I118" s="62"/>
      <c r="J118" s="62"/>
      <c r="K118" s="62"/>
      <c r="L118" s="62"/>
      <c r="M118" s="62"/>
      <c r="N118" s="62"/>
      <c r="O118" s="547"/>
      <c r="P118" s="62"/>
      <c r="V118" s="238">
        <f t="shared" si="88"/>
        <v>0</v>
      </c>
      <c r="W118" s="62"/>
      <c r="AA118" s="60"/>
    </row>
    <row r="119" spans="1:166">
      <c r="C119" s="62"/>
      <c r="D119" s="62"/>
      <c r="E119" s="62"/>
      <c r="F119" s="62"/>
      <c r="G119" s="62"/>
      <c r="H119" s="62"/>
      <c r="I119" s="62"/>
      <c r="J119" s="62"/>
      <c r="K119" s="62"/>
      <c r="L119" s="62"/>
      <c r="M119" s="62"/>
      <c r="N119" s="62"/>
      <c r="O119" s="547"/>
      <c r="P119" s="62"/>
      <c r="V119" s="238">
        <f t="shared" si="88"/>
        <v>0</v>
      </c>
      <c r="W119" s="62"/>
      <c r="AA119" s="60"/>
    </row>
    <row r="120" spans="1:166">
      <c r="C120" s="62"/>
      <c r="D120" s="62"/>
      <c r="E120" s="62"/>
      <c r="F120" s="62"/>
      <c r="G120" s="62"/>
      <c r="H120" s="62"/>
      <c r="I120" s="62"/>
      <c r="J120" s="62"/>
      <c r="K120" s="62"/>
      <c r="L120" s="62"/>
      <c r="M120" s="62"/>
      <c r="N120" s="62"/>
      <c r="O120" s="547"/>
      <c r="P120" s="62"/>
      <c r="V120" s="238">
        <f t="shared" si="88"/>
        <v>0</v>
      </c>
      <c r="W120" s="62"/>
      <c r="AA120" s="60"/>
    </row>
    <row r="121" spans="1:166">
      <c r="C121" s="62"/>
      <c r="D121" s="62"/>
      <c r="E121" s="62"/>
      <c r="F121" s="62"/>
      <c r="G121" s="62"/>
      <c r="H121" s="62"/>
      <c r="I121" s="62"/>
      <c r="J121" s="62"/>
      <c r="K121" s="62"/>
      <c r="L121" s="62"/>
      <c r="M121" s="62"/>
      <c r="N121" s="62"/>
      <c r="O121" s="547"/>
      <c r="P121" s="62"/>
      <c r="V121" s="238">
        <f t="shared" si="88"/>
        <v>0</v>
      </c>
      <c r="W121" s="62"/>
      <c r="AA121" s="60"/>
    </row>
    <row r="122" spans="1:166">
      <c r="C122" s="62"/>
      <c r="D122" s="62"/>
      <c r="E122" s="62"/>
      <c r="F122" s="62"/>
      <c r="G122" s="62"/>
      <c r="H122" s="62"/>
      <c r="I122" s="62"/>
      <c r="J122" s="62"/>
      <c r="K122" s="62"/>
      <c r="L122" s="62"/>
      <c r="M122" s="62"/>
      <c r="N122" s="62"/>
      <c r="O122" s="547"/>
      <c r="P122" s="62"/>
      <c r="V122" s="238">
        <f t="shared" si="88"/>
        <v>0</v>
      </c>
      <c r="W122" s="62"/>
      <c r="AA122" s="60"/>
    </row>
    <row r="123" spans="1:166">
      <c r="C123" s="62"/>
      <c r="D123" s="62"/>
      <c r="E123" s="62"/>
      <c r="F123" s="62"/>
      <c r="G123" s="62"/>
      <c r="H123" s="62"/>
      <c r="I123" s="62"/>
      <c r="J123" s="62"/>
      <c r="K123" s="62"/>
      <c r="L123" s="62"/>
      <c r="M123" s="62"/>
      <c r="N123" s="62"/>
      <c r="O123" s="547"/>
      <c r="P123" s="62"/>
      <c r="V123" s="238">
        <f t="shared" si="88"/>
        <v>0</v>
      </c>
      <c r="W123" s="62"/>
      <c r="AA123" s="60"/>
    </row>
    <row r="124" spans="1:166">
      <c r="C124" s="62"/>
      <c r="D124" s="62"/>
      <c r="E124" s="62"/>
      <c r="F124" s="62"/>
      <c r="G124" s="62"/>
      <c r="H124" s="62"/>
      <c r="I124" s="62"/>
      <c r="J124" s="62"/>
      <c r="K124" s="62"/>
      <c r="L124" s="62"/>
      <c r="M124" s="62"/>
      <c r="N124" s="62"/>
      <c r="O124" s="547"/>
      <c r="P124" s="62"/>
      <c r="V124" s="238">
        <f t="shared" si="88"/>
        <v>0</v>
      </c>
      <c r="W124" s="62"/>
      <c r="AA124" s="60"/>
    </row>
    <row r="125" spans="1:166">
      <c r="C125" s="62"/>
      <c r="D125" s="62"/>
      <c r="E125" s="62"/>
      <c r="F125" s="62"/>
      <c r="G125" s="62"/>
      <c r="H125" s="62"/>
      <c r="I125" s="62"/>
      <c r="J125" s="62"/>
      <c r="K125" s="62"/>
      <c r="L125" s="62"/>
      <c r="M125" s="62"/>
      <c r="N125" s="62"/>
      <c r="O125" s="547"/>
      <c r="P125" s="62"/>
      <c r="V125" s="238">
        <f t="shared" si="88"/>
        <v>0</v>
      </c>
      <c r="W125" s="62"/>
      <c r="AA125" s="60"/>
    </row>
    <row r="126" spans="1:166">
      <c r="C126" s="62"/>
      <c r="D126" s="62"/>
      <c r="E126" s="62"/>
      <c r="F126" s="62"/>
      <c r="G126" s="62"/>
      <c r="H126" s="62"/>
      <c r="I126" s="62"/>
      <c r="J126" s="62"/>
      <c r="K126" s="62"/>
      <c r="L126" s="62"/>
      <c r="M126" s="62"/>
      <c r="N126" s="62"/>
      <c r="O126" s="547"/>
      <c r="P126" s="62"/>
      <c r="V126" s="238">
        <f t="shared" si="88"/>
        <v>0</v>
      </c>
      <c r="W126" s="62"/>
      <c r="AA126" s="60"/>
    </row>
    <row r="127" spans="1:166">
      <c r="C127" s="62"/>
      <c r="D127" s="62"/>
      <c r="E127" s="62"/>
      <c r="F127" s="62"/>
      <c r="G127" s="62"/>
      <c r="H127" s="62"/>
      <c r="I127" s="62"/>
      <c r="J127" s="62"/>
      <c r="K127" s="62"/>
      <c r="L127" s="62"/>
      <c r="M127" s="62"/>
      <c r="N127" s="62"/>
      <c r="O127" s="547"/>
      <c r="P127" s="62"/>
      <c r="V127" s="238">
        <f t="shared" si="88"/>
        <v>0</v>
      </c>
      <c r="W127" s="62"/>
      <c r="AA127" s="60"/>
    </row>
    <row r="128" spans="1:166">
      <c r="C128" s="62"/>
      <c r="D128" s="62"/>
      <c r="E128" s="62"/>
      <c r="F128" s="62"/>
      <c r="G128" s="62"/>
      <c r="H128" s="62"/>
      <c r="I128" s="62"/>
      <c r="J128" s="62"/>
      <c r="K128" s="62"/>
      <c r="L128" s="62"/>
      <c r="M128" s="62"/>
      <c r="N128" s="62"/>
      <c r="O128" s="547"/>
      <c r="P128" s="62"/>
      <c r="V128" s="238">
        <f t="shared" si="88"/>
        <v>0</v>
      </c>
      <c r="W128" s="62"/>
      <c r="AA128" s="60"/>
    </row>
    <row r="129" spans="1:27">
      <c r="C129" s="62"/>
      <c r="D129" s="62"/>
      <c r="E129" s="62"/>
      <c r="F129" s="62"/>
      <c r="G129" s="62"/>
      <c r="H129" s="62"/>
      <c r="I129" s="62"/>
      <c r="J129" s="62"/>
      <c r="K129" s="62"/>
      <c r="L129" s="62"/>
      <c r="M129" s="62"/>
      <c r="N129" s="62"/>
      <c r="O129" s="547"/>
      <c r="P129" s="62"/>
      <c r="V129" s="238">
        <f t="shared" si="88"/>
        <v>0</v>
      </c>
      <c r="W129" s="62"/>
      <c r="AA129" s="60"/>
    </row>
    <row r="130" spans="1:27">
      <c r="C130" s="62"/>
      <c r="D130" s="62"/>
      <c r="E130" s="62"/>
      <c r="F130" s="62"/>
      <c r="G130" s="62"/>
      <c r="H130" s="62"/>
      <c r="I130" s="62"/>
      <c r="J130" s="62"/>
      <c r="K130" s="62"/>
      <c r="L130" s="62"/>
      <c r="M130" s="62"/>
      <c r="N130" s="62"/>
      <c r="O130" s="547"/>
      <c r="P130" s="62"/>
      <c r="V130" s="238">
        <f t="shared" si="88"/>
        <v>0</v>
      </c>
      <c r="W130" s="62"/>
      <c r="AA130" s="60"/>
    </row>
    <row r="131" spans="1:27">
      <c r="C131" s="62"/>
      <c r="D131" s="62"/>
      <c r="E131" s="62"/>
      <c r="F131" s="62"/>
      <c r="G131" s="62"/>
      <c r="H131" s="62"/>
      <c r="I131" s="62"/>
      <c r="J131" s="62"/>
      <c r="K131" s="62"/>
      <c r="L131" s="62"/>
      <c r="M131" s="62"/>
      <c r="N131" s="62"/>
      <c r="O131" s="547"/>
      <c r="P131" s="62"/>
      <c r="V131" s="238">
        <f t="shared" si="88"/>
        <v>0</v>
      </c>
      <c r="W131" s="62"/>
      <c r="AA131" s="60"/>
    </row>
    <row r="132" spans="1:27">
      <c r="C132" s="62"/>
      <c r="D132" s="62"/>
      <c r="E132" s="62"/>
      <c r="F132" s="62"/>
      <c r="G132" s="62"/>
      <c r="H132" s="62"/>
      <c r="I132" s="62"/>
      <c r="J132" s="62"/>
      <c r="K132" s="62"/>
      <c r="L132" s="62"/>
      <c r="M132" s="62"/>
      <c r="N132" s="62"/>
      <c r="O132" s="547"/>
      <c r="P132" s="62"/>
      <c r="V132" s="238">
        <f t="shared" si="88"/>
        <v>0</v>
      </c>
      <c r="W132" s="62"/>
      <c r="AA132" s="60"/>
    </row>
    <row r="133" spans="1:27">
      <c r="C133" s="62"/>
      <c r="D133" s="62"/>
      <c r="E133" s="62"/>
      <c r="F133" s="62"/>
      <c r="G133" s="62"/>
      <c r="H133" s="62"/>
      <c r="I133" s="62"/>
      <c r="J133" s="62"/>
      <c r="K133" s="62"/>
      <c r="L133" s="62"/>
      <c r="M133" s="62"/>
      <c r="N133" s="62"/>
      <c r="O133" s="547"/>
      <c r="P133" s="62"/>
      <c r="V133" s="238">
        <f t="shared" si="88"/>
        <v>0</v>
      </c>
      <c r="W133" s="62"/>
      <c r="AA133" s="60"/>
    </row>
    <row r="134" spans="1:27">
      <c r="C134" s="62"/>
      <c r="D134" s="62"/>
      <c r="E134" s="62"/>
      <c r="F134" s="62"/>
      <c r="G134" s="62"/>
      <c r="H134" s="62"/>
      <c r="I134" s="62"/>
      <c r="J134" s="62"/>
      <c r="K134" s="62"/>
      <c r="L134" s="62"/>
      <c r="M134" s="62"/>
      <c r="N134" s="62"/>
      <c r="O134" s="547"/>
      <c r="P134" s="62"/>
      <c r="V134" s="238">
        <f t="shared" si="88"/>
        <v>0</v>
      </c>
      <c r="W134" s="62"/>
      <c r="AA134" s="60"/>
    </row>
    <row r="135" spans="1:27">
      <c r="C135" s="62"/>
      <c r="D135" s="62"/>
      <c r="E135" s="62"/>
      <c r="F135" s="62"/>
      <c r="G135" s="62"/>
      <c r="H135" s="62"/>
      <c r="I135" s="62"/>
      <c r="J135" s="62"/>
      <c r="K135" s="62"/>
      <c r="L135" s="62"/>
      <c r="M135" s="62"/>
      <c r="N135" s="62"/>
      <c r="O135" s="547"/>
      <c r="P135" s="62"/>
      <c r="V135" s="238">
        <f t="shared" si="88"/>
        <v>0</v>
      </c>
      <c r="W135" s="62"/>
      <c r="AA135" s="60"/>
    </row>
    <row r="136" spans="1:27">
      <c r="C136" s="62"/>
      <c r="D136" s="62"/>
      <c r="E136" s="62"/>
      <c r="F136" s="62"/>
      <c r="G136" s="62"/>
      <c r="H136" s="62"/>
      <c r="I136" s="62"/>
      <c r="J136" s="62"/>
      <c r="K136" s="62"/>
      <c r="L136" s="62"/>
      <c r="M136" s="62"/>
      <c r="N136" s="62"/>
      <c r="O136" s="547"/>
      <c r="P136" s="62"/>
      <c r="V136" s="238">
        <f t="shared" si="88"/>
        <v>0</v>
      </c>
      <c r="W136" s="62"/>
      <c r="AA136" s="60"/>
    </row>
    <row r="137" spans="1:27">
      <c r="C137" s="62"/>
      <c r="D137" s="62"/>
      <c r="E137" s="62"/>
      <c r="F137" s="62"/>
      <c r="G137" s="62"/>
      <c r="H137" s="62"/>
      <c r="I137" s="62"/>
      <c r="J137" s="62"/>
      <c r="K137" s="62"/>
      <c r="L137" s="62"/>
      <c r="M137" s="62"/>
      <c r="N137" s="62"/>
      <c r="O137" s="547"/>
      <c r="P137" s="62"/>
      <c r="V137" s="238">
        <f t="shared" si="88"/>
        <v>0</v>
      </c>
      <c r="W137" s="62"/>
      <c r="AA137" s="60"/>
    </row>
    <row r="138" spans="1:27">
      <c r="C138" s="62"/>
      <c r="D138" s="62"/>
      <c r="E138" s="62"/>
      <c r="F138" s="62"/>
      <c r="G138" s="62"/>
      <c r="H138" s="62"/>
      <c r="I138" s="62"/>
      <c r="J138" s="62"/>
      <c r="K138" s="62"/>
      <c r="L138" s="62"/>
      <c r="M138" s="62"/>
      <c r="N138" s="62"/>
      <c r="O138" s="547"/>
      <c r="P138" s="62"/>
      <c r="V138" s="238">
        <f t="shared" si="88"/>
        <v>0</v>
      </c>
      <c r="W138" s="62"/>
      <c r="AA138" s="60"/>
    </row>
    <row r="139" spans="1:27">
      <c r="C139" s="62"/>
      <c r="D139" s="62"/>
      <c r="E139" s="62"/>
      <c r="F139" s="62"/>
      <c r="G139" s="62"/>
      <c r="H139" s="62"/>
      <c r="I139" s="62"/>
      <c r="J139" s="62"/>
      <c r="K139" s="62"/>
      <c r="L139" s="62"/>
      <c r="M139" s="62"/>
      <c r="N139" s="62"/>
      <c r="O139" s="547"/>
      <c r="P139" s="62"/>
      <c r="V139" s="238">
        <f t="shared" si="88"/>
        <v>0</v>
      </c>
      <c r="W139" s="62"/>
      <c r="AA139" s="60"/>
    </row>
    <row r="140" spans="1:27">
      <c r="C140" s="62"/>
      <c r="D140" s="62"/>
      <c r="E140" s="62"/>
      <c r="F140" s="62"/>
      <c r="G140" s="62"/>
      <c r="H140" s="62"/>
      <c r="I140" s="62"/>
      <c r="J140" s="62"/>
      <c r="K140" s="62"/>
      <c r="L140" s="62"/>
      <c r="M140" s="62"/>
      <c r="N140" s="62"/>
      <c r="O140" s="547"/>
      <c r="P140" s="62"/>
      <c r="V140" s="238">
        <f t="shared" si="88"/>
        <v>0</v>
      </c>
      <c r="W140" s="62"/>
      <c r="AA140" s="60"/>
    </row>
    <row r="141" spans="1:27">
      <c r="V141" s="238">
        <f t="shared" si="88"/>
        <v>0</v>
      </c>
    </row>
    <row r="142" spans="1:27">
      <c r="G142" s="238">
        <f>F142</f>
        <v>0</v>
      </c>
      <c r="V142" s="238">
        <f t="shared" si="88"/>
        <v>0</v>
      </c>
    </row>
    <row r="143" spans="1:27">
      <c r="V143" s="238">
        <f t="shared" si="88"/>
        <v>0</v>
      </c>
    </row>
    <row r="144" spans="1:27">
      <c r="A144" s="421"/>
      <c r="B144" s="421"/>
      <c r="C144" s="259"/>
      <c r="D144" s="259"/>
      <c r="E144" s="259"/>
      <c r="F144" s="259"/>
      <c r="G144" s="259"/>
      <c r="H144" s="259"/>
      <c r="I144" s="259"/>
      <c r="J144" s="259"/>
      <c r="K144" s="259"/>
      <c r="L144" s="259"/>
      <c r="M144" s="259"/>
      <c r="N144" s="259"/>
      <c r="O144" s="549"/>
      <c r="P144" s="259"/>
      <c r="V144" s="238">
        <f t="shared" si="88"/>
        <v>0</v>
      </c>
      <c r="W144" s="259"/>
      <c r="AA144" s="261"/>
    </row>
    <row r="145" spans="1:27">
      <c r="A145" s="421"/>
      <c r="B145" s="421"/>
      <c r="C145" s="259"/>
      <c r="D145" s="259"/>
      <c r="E145" s="259"/>
      <c r="F145" s="259"/>
      <c r="G145" s="259"/>
      <c r="H145" s="259"/>
      <c r="I145" s="259"/>
      <c r="J145" s="259"/>
      <c r="K145" s="259"/>
      <c r="L145" s="259"/>
      <c r="M145" s="259"/>
      <c r="N145" s="259"/>
      <c r="O145" s="549"/>
      <c r="P145" s="259"/>
      <c r="V145" s="238">
        <f t="shared" si="88"/>
        <v>0</v>
      </c>
      <c r="W145" s="259"/>
      <c r="AA145" s="261"/>
    </row>
    <row r="146" spans="1:27">
      <c r="A146" s="421"/>
      <c r="B146" s="421"/>
      <c r="C146" s="259"/>
      <c r="D146" s="259"/>
      <c r="E146" s="259"/>
      <c r="F146" s="259"/>
      <c r="G146" s="259"/>
      <c r="H146" s="259"/>
      <c r="I146" s="259"/>
      <c r="J146" s="259"/>
      <c r="K146" s="259"/>
      <c r="L146" s="259"/>
      <c r="M146" s="259"/>
      <c r="N146" s="259"/>
      <c r="O146" s="549"/>
      <c r="P146" s="259"/>
      <c r="V146" s="238">
        <f t="shared" si="88"/>
        <v>0</v>
      </c>
      <c r="W146" s="259"/>
      <c r="AA146" s="261"/>
    </row>
    <row r="147" spans="1:27">
      <c r="A147" s="421"/>
      <c r="B147" s="421"/>
      <c r="C147" s="259"/>
      <c r="D147" s="259"/>
      <c r="E147" s="259"/>
      <c r="F147" s="259"/>
      <c r="G147" s="259"/>
      <c r="H147" s="259"/>
      <c r="I147" s="259"/>
      <c r="J147" s="259"/>
      <c r="K147" s="259"/>
      <c r="L147" s="259"/>
      <c r="M147" s="259"/>
      <c r="N147" s="259"/>
      <c r="O147" s="549"/>
      <c r="P147" s="259"/>
      <c r="V147" s="238">
        <f t="shared" si="88"/>
        <v>0</v>
      </c>
      <c r="W147" s="259"/>
      <c r="AA147" s="261"/>
    </row>
    <row r="148" spans="1:27">
      <c r="A148" s="421"/>
      <c r="B148" s="421"/>
      <c r="C148" s="276"/>
      <c r="D148" s="276"/>
      <c r="E148" s="276"/>
      <c r="F148" s="276"/>
      <c r="G148" s="276"/>
      <c r="H148" s="276"/>
      <c r="I148" s="276"/>
      <c r="J148" s="276"/>
      <c r="K148" s="276"/>
      <c r="L148" s="276"/>
      <c r="M148" s="276"/>
      <c r="N148" s="276"/>
      <c r="P148" s="276"/>
      <c r="V148" s="238">
        <f t="shared" si="88"/>
        <v>0</v>
      </c>
      <c r="W148" s="276"/>
      <c r="AA148" s="440"/>
    </row>
    <row r="149" spans="1:27">
      <c r="A149" s="421"/>
      <c r="B149" s="421"/>
      <c r="C149" s="276"/>
      <c r="D149" s="276"/>
      <c r="E149" s="276"/>
      <c r="F149" s="276"/>
      <c r="G149" s="276"/>
      <c r="H149" s="276"/>
      <c r="I149" s="276"/>
      <c r="J149" s="276"/>
      <c r="K149" s="276"/>
      <c r="L149" s="276"/>
      <c r="M149" s="276"/>
      <c r="N149" s="276"/>
      <c r="P149" s="276"/>
      <c r="V149" s="238">
        <f t="shared" si="88"/>
        <v>0</v>
      </c>
      <c r="W149" s="276"/>
      <c r="AA149" s="440"/>
    </row>
    <row r="150" spans="1:27">
      <c r="C150" s="259"/>
      <c r="D150" s="259"/>
      <c r="E150" s="259"/>
      <c r="F150" s="259"/>
      <c r="G150" s="259"/>
      <c r="H150" s="259"/>
      <c r="I150" s="259"/>
      <c r="J150" s="259"/>
      <c r="K150" s="259"/>
      <c r="L150" s="259"/>
      <c r="M150" s="259"/>
      <c r="N150" s="259"/>
      <c r="O150" s="549"/>
      <c r="P150" s="259"/>
      <c r="W150" s="259"/>
      <c r="AA150" s="261"/>
    </row>
    <row r="151" spans="1:27">
      <c r="C151" s="259"/>
      <c r="D151" s="259"/>
      <c r="E151" s="259"/>
      <c r="F151" s="259"/>
      <c r="G151" s="259"/>
      <c r="H151" s="259"/>
      <c r="I151" s="259"/>
      <c r="J151" s="259"/>
      <c r="K151" s="259"/>
      <c r="L151" s="259"/>
      <c r="M151" s="259"/>
      <c r="N151" s="259"/>
      <c r="O151" s="549"/>
      <c r="P151" s="259"/>
      <c r="W151" s="259"/>
      <c r="AA151" s="261"/>
    </row>
    <row r="167" spans="7:7">
      <c r="G167" s="238">
        <f>F167</f>
        <v>0</v>
      </c>
    </row>
    <row r="172" spans="7:7">
      <c r="G172" s="238">
        <f>F172</f>
        <v>0</v>
      </c>
    </row>
    <row r="173" spans="7:7">
      <c r="G173" s="238">
        <f>F173</f>
        <v>0</v>
      </c>
    </row>
    <row r="176" spans="7:7">
      <c r="G176" s="238">
        <f>F176</f>
        <v>0</v>
      </c>
    </row>
    <row r="177" spans="7:7">
      <c r="G177" s="238">
        <f>F177</f>
        <v>0</v>
      </c>
    </row>
    <row r="180" spans="7:7">
      <c r="G180" s="238">
        <f>F180</f>
        <v>0</v>
      </c>
    </row>
    <row r="181" spans="7:7">
      <c r="G181" s="238">
        <f>F181</f>
        <v>0</v>
      </c>
    </row>
    <row r="182" spans="7:7">
      <c r="G182" s="238">
        <f>F182</f>
        <v>0</v>
      </c>
    </row>
    <row r="183" spans="7:7">
      <c r="G183" s="238">
        <f>F183</f>
        <v>0</v>
      </c>
    </row>
  </sheetData>
  <autoFilter ref="A5:O113" xr:uid="{AB0147FA-24F2-43F8-A0E9-F1457DAD998B}"/>
  <printOptions horizontalCentered="1" headings="1" gridLines="1"/>
  <pageMargins left="0" right="0" top="0.75" bottom="0.25" header="0.25" footer="0.25"/>
  <pageSetup scale="36" fitToHeight="4" orientation="landscape" r:id="rId1"/>
  <headerFooter>
    <oddFooter>Page &amp;P of &amp;N</oddFooter>
  </headerFooter>
  <rowBreaks count="1" manualBreakCount="1">
    <brk id="68" max="2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D4B00-D98F-4CEA-9403-2D007ECCDF40}">
  <sheetPr>
    <tabColor rgb="FF00B050"/>
  </sheetPr>
  <dimension ref="A1:EY173"/>
  <sheetViews>
    <sheetView tabSelected="1" view="pageBreakPreview" zoomScale="75" zoomScaleNormal="75" zoomScaleSheetLayoutView="75" workbookViewId="0">
      <pane xSplit="10" ySplit="5" topLeftCell="P22" activePane="bottomRight" state="frozen"/>
      <selection activeCell="Y25" sqref="Y25"/>
      <selection pane="topRight" activeCell="Y25" sqref="Y25"/>
      <selection pane="bottomLeft" activeCell="Y25" sqref="Y25"/>
      <selection pane="bottomRight" activeCell="Y25" sqref="Y25"/>
    </sheetView>
  </sheetViews>
  <sheetFormatPr defaultColWidth="10.5625" defaultRowHeight="14.25"/>
  <cols>
    <col min="1" max="1" width="10.5625" style="626" customWidth="1"/>
    <col min="2" max="2" width="39" style="298" customWidth="1"/>
    <col min="3" max="3" width="15.0625" style="238" hidden="1" customWidth="1"/>
    <col min="4" max="4" width="16.0625" style="238" hidden="1" customWidth="1"/>
    <col min="5" max="5" width="14.25" style="238" hidden="1" customWidth="1"/>
    <col min="6" max="6" width="14.75" style="238" hidden="1" customWidth="1"/>
    <col min="7" max="7" width="12.8125" style="238" hidden="1" customWidth="1"/>
    <col min="8" max="8" width="15.25" style="300" hidden="1" customWidth="1"/>
    <col min="9" max="10" width="15.25" style="238" hidden="1" customWidth="1"/>
    <col min="11" max="11" width="13.5" style="238" hidden="1" customWidth="1"/>
    <col min="12" max="12" width="10.5" style="238" hidden="1" customWidth="1"/>
    <col min="13" max="13" width="10" style="238" hidden="1" customWidth="1"/>
    <col min="14" max="14" width="6" style="238" hidden="1" customWidth="1"/>
    <col min="15" max="15" width="9.5625" style="523" hidden="1" customWidth="1"/>
    <col min="16" max="16" width="17.75" style="238" customWidth="1"/>
    <col min="17" max="17" width="20.8125" style="298" customWidth="1"/>
    <col min="18" max="18" width="18" style="298" customWidth="1"/>
    <col min="19" max="19" width="20.3125" style="298" customWidth="1"/>
    <col min="20" max="20" width="14.5" style="298" customWidth="1"/>
    <col min="21" max="22" width="19.8125" style="298" customWidth="1"/>
    <col min="23" max="23" width="18.75" style="238" customWidth="1"/>
    <col min="24" max="24" width="25.3125" style="298" customWidth="1"/>
    <col min="25" max="25" width="51.75" style="298" customWidth="1"/>
    <col min="26" max="26" width="16.9375" style="346" customWidth="1"/>
    <col min="27" max="27" width="15.5625" style="298" customWidth="1"/>
    <col min="28" max="16384" width="10.5625" style="298"/>
  </cols>
  <sheetData>
    <row r="1" spans="1:27" s="503" customFormat="1" ht="16.45" customHeight="1">
      <c r="A1" s="551" t="s">
        <v>0</v>
      </c>
      <c r="C1" s="552"/>
      <c r="D1" s="552"/>
      <c r="E1" s="552"/>
      <c r="F1" s="552"/>
      <c r="G1" s="62"/>
      <c r="H1" s="63"/>
      <c r="I1" s="552"/>
      <c r="J1" s="552"/>
      <c r="K1" s="552"/>
      <c r="L1" s="553"/>
      <c r="M1" s="553"/>
      <c r="N1" s="502"/>
      <c r="O1" s="554" t="s">
        <v>1</v>
      </c>
      <c r="P1" s="502"/>
      <c r="U1" s="502"/>
      <c r="V1" s="502"/>
      <c r="W1" s="552"/>
      <c r="X1" s="502"/>
      <c r="Y1" s="554" t="s">
        <v>1</v>
      </c>
      <c r="Z1" s="694"/>
      <c r="AA1" s="502"/>
    </row>
    <row r="2" spans="1:27" s="503" customFormat="1" ht="16.45" customHeight="1">
      <c r="A2" s="556" t="s">
        <v>1167</v>
      </c>
      <c r="B2" s="557"/>
      <c r="C2" s="558"/>
      <c r="D2" s="558"/>
      <c r="E2" s="558"/>
      <c r="F2" s="558"/>
      <c r="G2" s="62"/>
      <c r="H2" s="63"/>
      <c r="I2" s="558"/>
      <c r="J2" s="558"/>
      <c r="K2" s="558"/>
      <c r="L2" s="553"/>
      <c r="M2" s="553"/>
      <c r="N2" s="502"/>
      <c r="P2" s="502"/>
      <c r="U2" s="502"/>
      <c r="V2" s="502"/>
      <c r="W2" s="558"/>
      <c r="X2" s="502"/>
      <c r="Z2" s="694"/>
      <c r="AA2" s="502"/>
    </row>
    <row r="3" spans="1:27" s="695" customFormat="1" ht="16.45" customHeight="1">
      <c r="A3" s="695" t="s">
        <v>827</v>
      </c>
      <c r="B3" s="696"/>
      <c r="C3" s="696"/>
      <c r="D3" s="272"/>
      <c r="E3" s="696"/>
      <c r="F3" s="696"/>
      <c r="G3" s="62"/>
      <c r="H3" s="63"/>
      <c r="I3" s="696"/>
      <c r="J3" s="696"/>
      <c r="K3" s="696"/>
      <c r="L3" s="696"/>
      <c r="M3" s="696"/>
      <c r="N3" s="696"/>
      <c r="P3" s="696"/>
      <c r="W3" s="696"/>
      <c r="Z3" s="697"/>
    </row>
    <row r="4" spans="1:27" s="276" customFormat="1" ht="18" customHeight="1" thickBot="1">
      <c r="A4" s="698"/>
      <c r="C4" s="274"/>
      <c r="D4" s="274"/>
      <c r="E4" s="274"/>
      <c r="F4" s="274"/>
      <c r="G4" s="274"/>
      <c r="H4" s="275"/>
      <c r="I4" s="274"/>
      <c r="J4" s="274"/>
      <c r="K4" s="274"/>
      <c r="L4" s="274"/>
      <c r="M4" s="274"/>
      <c r="N4" s="274"/>
      <c r="O4" s="601"/>
      <c r="P4" s="274"/>
      <c r="W4" s="274"/>
      <c r="Z4" s="278"/>
    </row>
    <row r="5" spans="1:27" s="576" customFormat="1" ht="62.65" customHeight="1" thickBot="1">
      <c r="A5" s="563" t="s">
        <v>5</v>
      </c>
      <c r="B5" s="564" t="s">
        <v>6</v>
      </c>
      <c r="C5" s="565" t="s">
        <v>7</v>
      </c>
      <c r="D5" s="566" t="s">
        <v>8</v>
      </c>
      <c r="E5" s="567" t="s">
        <v>9</v>
      </c>
      <c r="F5" s="567" t="s">
        <v>10</v>
      </c>
      <c r="G5" s="699" t="s">
        <v>11</v>
      </c>
      <c r="H5" s="567" t="s">
        <v>12</v>
      </c>
      <c r="I5" s="30" t="s">
        <v>141</v>
      </c>
      <c r="J5" s="30" t="s">
        <v>142</v>
      </c>
      <c r="K5" s="30" t="s">
        <v>15</v>
      </c>
      <c r="L5" s="568" t="s">
        <v>143</v>
      </c>
      <c r="M5" s="568" t="s">
        <v>17</v>
      </c>
      <c r="N5" s="568" t="s">
        <v>144</v>
      </c>
      <c r="O5" s="568" t="s">
        <v>145</v>
      </c>
      <c r="P5" s="568" t="s">
        <v>20</v>
      </c>
      <c r="Q5" s="569" t="s">
        <v>146</v>
      </c>
      <c r="R5" s="569" t="s">
        <v>147</v>
      </c>
      <c r="S5" s="569" t="s">
        <v>23</v>
      </c>
      <c r="T5" s="569" t="s">
        <v>24</v>
      </c>
      <c r="U5" s="569" t="s">
        <v>25</v>
      </c>
      <c r="V5" s="569" t="s">
        <v>148</v>
      </c>
      <c r="W5" s="571" t="s">
        <v>27</v>
      </c>
      <c r="X5" s="572" t="s">
        <v>28</v>
      </c>
      <c r="Y5" s="700" t="s">
        <v>29</v>
      </c>
      <c r="Z5" s="574" t="s">
        <v>30</v>
      </c>
      <c r="AA5" s="701" t="s">
        <v>149</v>
      </c>
    </row>
    <row r="6" spans="1:27">
      <c r="F6" s="62"/>
      <c r="G6" s="62"/>
      <c r="H6" s="63"/>
      <c r="I6" s="62"/>
      <c r="J6" s="62"/>
      <c r="K6" s="62"/>
      <c r="L6" s="56"/>
      <c r="M6" s="56"/>
      <c r="N6" s="56"/>
      <c r="O6" s="312"/>
      <c r="P6" s="56"/>
      <c r="Q6" s="293"/>
      <c r="R6" s="293"/>
      <c r="S6" s="293"/>
      <c r="T6" s="293"/>
      <c r="U6" s="293"/>
      <c r="V6" s="293"/>
      <c r="W6" s="62"/>
      <c r="X6" s="293"/>
      <c r="Y6" s="293"/>
      <c r="Z6" s="60"/>
      <c r="AA6" s="335"/>
    </row>
    <row r="7" spans="1:27">
      <c r="A7" s="702">
        <f>'MISSION BEYOND'!A113+1</f>
        <v>512</v>
      </c>
      <c r="B7" s="310" t="s">
        <v>828</v>
      </c>
      <c r="F7" s="62"/>
      <c r="G7" s="62"/>
      <c r="H7" s="63"/>
      <c r="I7" s="62"/>
      <c r="J7" s="62"/>
      <c r="K7" s="62"/>
      <c r="L7" s="56"/>
      <c r="M7" s="56"/>
      <c r="N7" s="56">
        <f t="shared" ref="N7:N58" si="0">L7+M7</f>
        <v>0</v>
      </c>
      <c r="O7" s="312"/>
      <c r="P7" s="56">
        <f>N7</f>
        <v>0</v>
      </c>
      <c r="Q7" s="293"/>
      <c r="R7" s="293"/>
      <c r="S7" s="293"/>
      <c r="T7" s="293"/>
      <c r="U7" s="293"/>
      <c r="V7" s="293"/>
      <c r="W7" s="62"/>
      <c r="X7" s="293"/>
      <c r="Y7" s="293"/>
      <c r="Z7" s="60"/>
      <c r="AA7" s="335"/>
    </row>
    <row r="8" spans="1:27" ht="49.5" customHeight="1">
      <c r="A8" s="626">
        <f>A7+1</f>
        <v>513</v>
      </c>
      <c r="B8" s="703" t="s">
        <v>829</v>
      </c>
      <c r="C8" s="62">
        <f>185000+2368500</f>
        <v>2553500</v>
      </c>
      <c r="D8" s="62">
        <v>2183000</v>
      </c>
      <c r="E8" s="238">
        <v>127241</v>
      </c>
      <c r="F8" s="238">
        <v>325000</v>
      </c>
      <c r="G8" s="297">
        <v>325000</v>
      </c>
      <c r="H8" s="300" t="s">
        <v>830</v>
      </c>
      <c r="I8" s="62">
        <v>1733000</v>
      </c>
      <c r="J8" s="62"/>
      <c r="K8" s="62"/>
      <c r="L8" s="56">
        <f>1733000+225000</f>
        <v>1958000</v>
      </c>
      <c r="M8" s="56">
        <v>100000</v>
      </c>
      <c r="N8" s="56">
        <f t="shared" si="0"/>
        <v>2058000</v>
      </c>
      <c r="O8" s="312" t="s">
        <v>831</v>
      </c>
      <c r="P8" s="56">
        <f>N8</f>
        <v>2058000</v>
      </c>
      <c r="Q8" s="293">
        <v>345000</v>
      </c>
      <c r="R8" s="293">
        <v>2148000</v>
      </c>
      <c r="S8" s="293"/>
      <c r="T8" s="66">
        <v>2148000</v>
      </c>
      <c r="U8" s="66">
        <f t="shared" ref="U8:U26" si="1">Q8+T8</f>
        <v>2493000</v>
      </c>
      <c r="V8" s="66">
        <f t="shared" ref="V8:V51" si="2">U8+P8</f>
        <v>4551000</v>
      </c>
      <c r="W8" s="62">
        <f>E8+G8+K8</f>
        <v>452241</v>
      </c>
      <c r="X8" s="66"/>
      <c r="Y8" s="295" t="s">
        <v>832</v>
      </c>
      <c r="Z8" s="60">
        <v>2493000</v>
      </c>
      <c r="AA8" s="68">
        <v>2183000</v>
      </c>
    </row>
    <row r="9" spans="1:27" ht="37.049999999999997" customHeight="1">
      <c r="A9" s="626" t="s">
        <v>833</v>
      </c>
      <c r="B9" s="703" t="s">
        <v>834</v>
      </c>
      <c r="C9" s="62"/>
      <c r="D9" s="62"/>
      <c r="G9" s="297"/>
      <c r="I9" s="62"/>
      <c r="J9" s="62"/>
      <c r="K9" s="62"/>
      <c r="L9" s="56"/>
      <c r="M9" s="56"/>
      <c r="N9" s="56"/>
      <c r="O9" s="312"/>
      <c r="P9" s="56">
        <v>0</v>
      </c>
      <c r="Q9" s="293"/>
      <c r="R9" s="293"/>
      <c r="S9" s="293">
        <v>30000</v>
      </c>
      <c r="T9" s="66">
        <f t="shared" ref="T9:T26" si="3">R9+S9</f>
        <v>30000</v>
      </c>
      <c r="U9" s="66">
        <f t="shared" si="1"/>
        <v>30000</v>
      </c>
      <c r="V9" s="66">
        <f t="shared" si="2"/>
        <v>30000</v>
      </c>
      <c r="W9" s="62"/>
      <c r="X9" s="66"/>
      <c r="Y9" s="295" t="s">
        <v>835</v>
      </c>
      <c r="Z9" s="60">
        <v>30000</v>
      </c>
      <c r="AA9" s="68"/>
    </row>
    <row r="10" spans="1:27" ht="43.5" customHeight="1">
      <c r="A10" s="626">
        <f>A8+1</f>
        <v>514</v>
      </c>
      <c r="B10" s="704" t="s">
        <v>836</v>
      </c>
      <c r="C10" s="62">
        <v>1079438</v>
      </c>
      <c r="D10" s="62">
        <v>1322500</v>
      </c>
      <c r="E10" s="238">
        <v>378091</v>
      </c>
      <c r="F10" s="238">
        <v>505500</v>
      </c>
      <c r="G10" s="238">
        <v>397500</v>
      </c>
      <c r="H10" s="300" t="s">
        <v>837</v>
      </c>
      <c r="I10" s="62"/>
      <c r="J10" s="62">
        <v>477000</v>
      </c>
      <c r="K10" s="62">
        <f>J10</f>
        <v>477000</v>
      </c>
      <c r="L10" s="56"/>
      <c r="M10" s="56">
        <v>537625</v>
      </c>
      <c r="N10" s="56">
        <f t="shared" si="0"/>
        <v>537625</v>
      </c>
      <c r="O10" s="312"/>
      <c r="P10" s="56">
        <f t="shared" ref="P10:P58" si="4">N10</f>
        <v>537625</v>
      </c>
      <c r="Q10" s="311">
        <f>569125-159500</f>
        <v>409625</v>
      </c>
      <c r="R10" s="293"/>
      <c r="S10" s="293">
        <v>499875</v>
      </c>
      <c r="T10" s="66">
        <f t="shared" si="3"/>
        <v>499875</v>
      </c>
      <c r="U10" s="66">
        <f t="shared" si="1"/>
        <v>909500</v>
      </c>
      <c r="V10" s="66">
        <f t="shared" si="2"/>
        <v>1447125</v>
      </c>
      <c r="W10" s="62">
        <f>E10+G10+K10</f>
        <v>1252591</v>
      </c>
      <c r="X10" s="585" t="s">
        <v>838</v>
      </c>
      <c r="Y10" s="295" t="s">
        <v>839</v>
      </c>
      <c r="Z10" s="60">
        <v>1069000</v>
      </c>
      <c r="AA10" s="68">
        <v>1322500</v>
      </c>
    </row>
    <row r="11" spans="1:27">
      <c r="A11" s="626" t="s">
        <v>840</v>
      </c>
      <c r="B11" s="704" t="s">
        <v>164</v>
      </c>
      <c r="C11" s="62"/>
      <c r="D11" s="62">
        <v>0</v>
      </c>
      <c r="I11" s="62"/>
      <c r="J11" s="62"/>
      <c r="K11" s="62"/>
      <c r="L11" s="56"/>
      <c r="M11" s="56"/>
      <c r="N11" s="56">
        <f t="shared" si="0"/>
        <v>0</v>
      </c>
      <c r="O11" s="705"/>
      <c r="P11" s="56">
        <f t="shared" si="4"/>
        <v>0</v>
      </c>
      <c r="Q11" s="293"/>
      <c r="R11" s="293"/>
      <c r="S11" s="293"/>
      <c r="T11" s="66">
        <f t="shared" si="3"/>
        <v>0</v>
      </c>
      <c r="U11" s="66">
        <f t="shared" si="1"/>
        <v>0</v>
      </c>
      <c r="V11" s="66">
        <f t="shared" si="2"/>
        <v>0</v>
      </c>
      <c r="W11" s="62"/>
      <c r="X11" s="66"/>
      <c r="Y11" s="293"/>
      <c r="Z11" s="60">
        <v>0</v>
      </c>
      <c r="AA11" s="68">
        <v>0</v>
      </c>
    </row>
    <row r="12" spans="1:27" ht="37.15" customHeight="1">
      <c r="A12" s="626">
        <v>519</v>
      </c>
      <c r="B12" s="704" t="s">
        <v>841</v>
      </c>
      <c r="C12" s="62">
        <f>1100000+300000</f>
        <v>1400000</v>
      </c>
      <c r="D12" s="62">
        <v>1560000</v>
      </c>
      <c r="E12" s="238">
        <v>347815</v>
      </c>
      <c r="F12" s="238">
        <v>950000</v>
      </c>
      <c r="G12" s="238">
        <v>630000</v>
      </c>
      <c r="H12" s="300" t="s">
        <v>842</v>
      </c>
      <c r="I12" s="62"/>
      <c r="J12" s="62">
        <v>250000</v>
      </c>
      <c r="K12" s="62">
        <f>J12</f>
        <v>250000</v>
      </c>
      <c r="L12" s="56"/>
      <c r="M12" s="56">
        <v>442200</v>
      </c>
      <c r="N12" s="56">
        <f t="shared" si="0"/>
        <v>442200</v>
      </c>
      <c r="O12" s="312" t="s">
        <v>843</v>
      </c>
      <c r="P12" s="56">
        <f t="shared" si="4"/>
        <v>442200</v>
      </c>
      <c r="Q12" s="706">
        <v>570000</v>
      </c>
      <c r="R12" s="293"/>
      <c r="S12" s="293">
        <v>239600</v>
      </c>
      <c r="T12" s="66">
        <f t="shared" si="3"/>
        <v>239600</v>
      </c>
      <c r="U12" s="66">
        <f t="shared" si="1"/>
        <v>809600</v>
      </c>
      <c r="V12" s="66">
        <f t="shared" si="2"/>
        <v>1251800</v>
      </c>
      <c r="W12" s="62">
        <f>E12+G12+K12</f>
        <v>1227815</v>
      </c>
      <c r="X12" s="66"/>
      <c r="Y12" s="295" t="s">
        <v>844</v>
      </c>
      <c r="Z12" s="60">
        <v>809600</v>
      </c>
      <c r="AA12" s="68">
        <v>1560000</v>
      </c>
    </row>
    <row r="13" spans="1:27">
      <c r="A13" s="707">
        <v>520</v>
      </c>
      <c r="B13" s="704" t="s">
        <v>845</v>
      </c>
      <c r="C13" s="62"/>
      <c r="D13" s="62"/>
      <c r="I13" s="62"/>
      <c r="J13" s="62"/>
      <c r="K13" s="62"/>
      <c r="L13" s="56"/>
      <c r="M13" s="56"/>
      <c r="N13" s="56">
        <f t="shared" si="0"/>
        <v>0</v>
      </c>
      <c r="O13" s="332"/>
      <c r="P13" s="56">
        <f t="shared" si="4"/>
        <v>0</v>
      </c>
      <c r="Q13" s="293">
        <v>0</v>
      </c>
      <c r="R13" s="293">
        <v>40000</v>
      </c>
      <c r="S13" s="293"/>
      <c r="T13" s="66">
        <f t="shared" si="3"/>
        <v>40000</v>
      </c>
      <c r="U13" s="66">
        <f t="shared" si="1"/>
        <v>40000</v>
      </c>
      <c r="V13" s="66">
        <f t="shared" si="2"/>
        <v>40000</v>
      </c>
      <c r="W13" s="62">
        <f>E13+G13+K13</f>
        <v>0</v>
      </c>
      <c r="X13" s="66"/>
      <c r="Y13" s="293"/>
      <c r="Z13" s="60">
        <v>40000</v>
      </c>
      <c r="AA13" s="68">
        <v>0</v>
      </c>
    </row>
    <row r="14" spans="1:27">
      <c r="A14" s="626">
        <v>521</v>
      </c>
      <c r="B14" s="62" t="s">
        <v>164</v>
      </c>
      <c r="C14" s="62">
        <v>0</v>
      </c>
      <c r="D14" s="62">
        <v>0</v>
      </c>
      <c r="I14" s="62"/>
      <c r="J14" s="62"/>
      <c r="K14" s="62"/>
      <c r="L14" s="56"/>
      <c r="M14" s="56"/>
      <c r="N14" s="56">
        <f t="shared" si="0"/>
        <v>0</v>
      </c>
      <c r="O14" s="332"/>
      <c r="P14" s="56">
        <f t="shared" si="4"/>
        <v>0</v>
      </c>
      <c r="Q14" s="293"/>
      <c r="R14" s="293"/>
      <c r="S14" s="293"/>
      <c r="T14" s="66">
        <f t="shared" si="3"/>
        <v>0</v>
      </c>
      <c r="U14" s="66">
        <f t="shared" si="1"/>
        <v>0</v>
      </c>
      <c r="V14" s="66">
        <f t="shared" si="2"/>
        <v>0</v>
      </c>
      <c r="W14" s="62"/>
      <c r="X14" s="66"/>
      <c r="Y14" s="293"/>
      <c r="Z14" s="60">
        <v>0</v>
      </c>
      <c r="AA14" s="68">
        <v>0</v>
      </c>
    </row>
    <row r="15" spans="1:27" ht="32.65" customHeight="1">
      <c r="A15" s="626">
        <v>522</v>
      </c>
      <c r="B15" s="703" t="s">
        <v>846</v>
      </c>
      <c r="C15" s="62"/>
      <c r="D15" s="62">
        <v>250000</v>
      </c>
      <c r="E15" s="238">
        <v>22950</v>
      </c>
      <c r="F15" s="238">
        <v>115000</v>
      </c>
      <c r="G15" s="238">
        <v>115000</v>
      </c>
      <c r="H15" s="300" t="s">
        <v>847</v>
      </c>
      <c r="I15" s="62"/>
      <c r="J15" s="62">
        <v>90000</v>
      </c>
      <c r="K15" s="62">
        <f>J15</f>
        <v>90000</v>
      </c>
      <c r="L15" s="56"/>
      <c r="M15" s="56"/>
      <c r="N15" s="56">
        <f t="shared" si="0"/>
        <v>0</v>
      </c>
      <c r="O15" s="332"/>
      <c r="P15" s="56">
        <f t="shared" si="4"/>
        <v>0</v>
      </c>
      <c r="Q15" s="293"/>
      <c r="R15" s="293"/>
      <c r="S15" s="293"/>
      <c r="T15" s="66">
        <f t="shared" si="3"/>
        <v>0</v>
      </c>
      <c r="U15" s="66">
        <f t="shared" si="1"/>
        <v>0</v>
      </c>
      <c r="V15" s="66">
        <f t="shared" si="2"/>
        <v>0</v>
      </c>
      <c r="W15" s="62">
        <f>E15+G15+K15</f>
        <v>227950</v>
      </c>
      <c r="X15" s="66"/>
      <c r="Y15" s="293"/>
      <c r="Z15" s="60">
        <v>0</v>
      </c>
      <c r="AA15" s="68">
        <v>250000</v>
      </c>
    </row>
    <row r="16" spans="1:27" ht="28.5">
      <c r="A16" s="626">
        <v>523</v>
      </c>
      <c r="B16" s="703" t="s">
        <v>848</v>
      </c>
      <c r="C16" s="62"/>
      <c r="D16" s="62">
        <v>90000</v>
      </c>
      <c r="E16" s="238">
        <v>30000</v>
      </c>
      <c r="F16" s="238">
        <v>30000</v>
      </c>
      <c r="G16" s="238">
        <v>30000</v>
      </c>
      <c r="I16" s="62"/>
      <c r="J16" s="62">
        <v>30000</v>
      </c>
      <c r="K16" s="62">
        <f>J16</f>
        <v>30000</v>
      </c>
      <c r="L16" s="56"/>
      <c r="M16" s="56">
        <v>30000</v>
      </c>
      <c r="N16" s="56">
        <f t="shared" si="0"/>
        <v>30000</v>
      </c>
      <c r="O16" s="332"/>
      <c r="P16" s="56">
        <f t="shared" si="4"/>
        <v>30000</v>
      </c>
      <c r="Q16" s="293">
        <v>40000</v>
      </c>
      <c r="R16" s="293"/>
      <c r="S16" s="293">
        <v>40000</v>
      </c>
      <c r="T16" s="66">
        <f t="shared" si="3"/>
        <v>40000</v>
      </c>
      <c r="U16" s="66">
        <f t="shared" si="1"/>
        <v>80000</v>
      </c>
      <c r="V16" s="66">
        <f t="shared" si="2"/>
        <v>110000</v>
      </c>
      <c r="W16" s="62">
        <f>E16+G16+K16</f>
        <v>90000</v>
      </c>
      <c r="X16" s="66"/>
      <c r="Y16" s="293" t="s">
        <v>849</v>
      </c>
      <c r="Z16" s="60">
        <v>80000</v>
      </c>
      <c r="AA16" s="68">
        <v>90000</v>
      </c>
    </row>
    <row r="17" spans="1:27" ht="19.5" customHeight="1">
      <c r="A17" s="708" t="s">
        <v>850</v>
      </c>
      <c r="B17" s="704" t="s">
        <v>164</v>
      </c>
      <c r="C17" s="62"/>
      <c r="D17" s="62">
        <v>0</v>
      </c>
      <c r="I17" s="62"/>
      <c r="J17" s="62"/>
      <c r="K17" s="62"/>
      <c r="L17" s="56"/>
      <c r="M17" s="56"/>
      <c r="N17" s="56">
        <f t="shared" si="0"/>
        <v>0</v>
      </c>
      <c r="O17" s="332"/>
      <c r="P17" s="56">
        <f t="shared" si="4"/>
        <v>0</v>
      </c>
      <c r="Q17" s="293"/>
      <c r="R17" s="293"/>
      <c r="S17" s="293"/>
      <c r="T17" s="66">
        <f t="shared" si="3"/>
        <v>0</v>
      </c>
      <c r="U17" s="66">
        <f t="shared" si="1"/>
        <v>0</v>
      </c>
      <c r="V17" s="66">
        <f t="shared" si="2"/>
        <v>0</v>
      </c>
      <c r="W17" s="62"/>
      <c r="X17" s="66"/>
      <c r="Y17" s="293"/>
      <c r="Z17" s="60">
        <v>0</v>
      </c>
      <c r="AA17" s="68"/>
    </row>
    <row r="18" spans="1:27">
      <c r="A18" s="626" t="s">
        <v>851</v>
      </c>
      <c r="B18" s="704" t="s">
        <v>852</v>
      </c>
      <c r="C18" s="62"/>
      <c r="D18" s="62">
        <v>0</v>
      </c>
      <c r="I18" s="62"/>
      <c r="J18" s="62"/>
      <c r="K18" s="62"/>
      <c r="L18" s="56"/>
      <c r="M18" s="56"/>
      <c r="N18" s="56">
        <f t="shared" si="0"/>
        <v>0</v>
      </c>
      <c r="O18" s="312"/>
      <c r="P18" s="56">
        <f t="shared" si="4"/>
        <v>0</v>
      </c>
      <c r="Q18" s="293"/>
      <c r="R18" s="293"/>
      <c r="S18" s="293"/>
      <c r="T18" s="66">
        <f t="shared" si="3"/>
        <v>0</v>
      </c>
      <c r="U18" s="66">
        <f t="shared" si="1"/>
        <v>0</v>
      </c>
      <c r="V18" s="66">
        <f t="shared" si="2"/>
        <v>0</v>
      </c>
      <c r="W18" s="62"/>
      <c r="X18" s="66"/>
      <c r="Y18" s="293"/>
      <c r="Z18" s="60">
        <v>0</v>
      </c>
      <c r="AA18" s="68"/>
    </row>
    <row r="19" spans="1:27" ht="20.75" customHeight="1">
      <c r="A19" s="626" t="s">
        <v>853</v>
      </c>
      <c r="B19" s="704" t="s">
        <v>854</v>
      </c>
      <c r="C19" s="62"/>
      <c r="D19" s="62">
        <v>201000</v>
      </c>
      <c r="E19" s="238">
        <v>25542</v>
      </c>
      <c r="F19" s="238">
        <v>110000</v>
      </c>
      <c r="G19" s="238">
        <v>110000</v>
      </c>
      <c r="H19" s="300" t="s">
        <v>855</v>
      </c>
      <c r="I19" s="62"/>
      <c r="J19" s="62">
        <v>56000</v>
      </c>
      <c r="K19" s="62">
        <f t="shared" ref="K19:K21" si="5">J19</f>
        <v>56000</v>
      </c>
      <c r="L19" s="56"/>
      <c r="M19" s="56"/>
      <c r="N19" s="56">
        <v>50000</v>
      </c>
      <c r="O19" s="312" t="s">
        <v>856</v>
      </c>
      <c r="P19" s="56">
        <f t="shared" si="4"/>
        <v>50000</v>
      </c>
      <c r="Q19" s="293"/>
      <c r="R19" s="293"/>
      <c r="S19" s="293"/>
      <c r="T19" s="66">
        <f t="shared" si="3"/>
        <v>0</v>
      </c>
      <c r="U19" s="66">
        <f t="shared" si="1"/>
        <v>0</v>
      </c>
      <c r="V19" s="66">
        <f t="shared" si="2"/>
        <v>50000</v>
      </c>
      <c r="W19" s="62">
        <f t="shared" ref="W19:W25" si="6">E19+G19+K19</f>
        <v>191542</v>
      </c>
      <c r="X19" s="66"/>
      <c r="Y19" s="293"/>
      <c r="Z19" s="60">
        <v>0</v>
      </c>
      <c r="AA19" s="68">
        <v>201000</v>
      </c>
    </row>
    <row r="20" spans="1:27" ht="24" customHeight="1">
      <c r="A20" s="626">
        <v>532</v>
      </c>
      <c r="B20" s="704" t="s">
        <v>857</v>
      </c>
      <c r="C20" s="62">
        <v>75000</v>
      </c>
      <c r="D20" s="62">
        <v>110000</v>
      </c>
      <c r="E20" s="418">
        <v>-1990</v>
      </c>
      <c r="F20" s="418">
        <v>70000</v>
      </c>
      <c r="G20" s="418">
        <v>20000</v>
      </c>
      <c r="H20" s="614" t="s">
        <v>858</v>
      </c>
      <c r="I20" s="62"/>
      <c r="J20" s="62">
        <v>37000</v>
      </c>
      <c r="K20" s="62">
        <f t="shared" si="5"/>
        <v>37000</v>
      </c>
      <c r="L20" s="56"/>
      <c r="M20" s="56">
        <v>10000</v>
      </c>
      <c r="N20" s="56">
        <f t="shared" si="0"/>
        <v>10000</v>
      </c>
      <c r="O20" s="312" t="s">
        <v>859</v>
      </c>
      <c r="P20" s="56">
        <f t="shared" si="4"/>
        <v>10000</v>
      </c>
      <c r="Q20" s="293">
        <v>10000</v>
      </c>
      <c r="R20" s="293"/>
      <c r="S20" s="293">
        <v>15000</v>
      </c>
      <c r="T20" s="66">
        <f t="shared" si="3"/>
        <v>15000</v>
      </c>
      <c r="U20" s="66">
        <f t="shared" si="1"/>
        <v>25000</v>
      </c>
      <c r="V20" s="66">
        <f t="shared" si="2"/>
        <v>35000</v>
      </c>
      <c r="W20" s="62">
        <f t="shared" si="6"/>
        <v>55010</v>
      </c>
      <c r="X20" s="66"/>
      <c r="Y20" s="293"/>
      <c r="Z20" s="60">
        <v>25000</v>
      </c>
      <c r="AA20" s="68">
        <v>110000</v>
      </c>
    </row>
    <row r="21" spans="1:27" ht="41.25" customHeight="1">
      <c r="A21" s="626">
        <f t="shared" ref="A21:A63" si="7">A20+1</f>
        <v>533</v>
      </c>
      <c r="B21" s="704" t="s">
        <v>860</v>
      </c>
      <c r="C21" s="62">
        <v>0</v>
      </c>
      <c r="D21" s="62">
        <v>1740000</v>
      </c>
      <c r="E21" s="418">
        <v>457281</v>
      </c>
      <c r="F21" s="418">
        <v>734000</v>
      </c>
      <c r="G21" s="709">
        <v>734000</v>
      </c>
      <c r="H21" s="614"/>
      <c r="I21" s="62">
        <v>700000</v>
      </c>
      <c r="J21" s="62">
        <v>297800</v>
      </c>
      <c r="K21" s="62">
        <f t="shared" si="5"/>
        <v>297800</v>
      </c>
      <c r="L21" s="56">
        <f>700000+263500</f>
        <v>963500</v>
      </c>
      <c r="M21" s="56">
        <v>550000</v>
      </c>
      <c r="N21" s="56">
        <f t="shared" si="0"/>
        <v>1513500</v>
      </c>
      <c r="O21" s="312" t="s">
        <v>861</v>
      </c>
      <c r="P21" s="56">
        <f t="shared" si="4"/>
        <v>1513500</v>
      </c>
      <c r="Q21" s="293">
        <v>630000</v>
      </c>
      <c r="R21" s="293"/>
      <c r="S21" s="293">
        <v>1010000</v>
      </c>
      <c r="T21" s="66">
        <f t="shared" si="3"/>
        <v>1010000</v>
      </c>
      <c r="U21" s="66">
        <f t="shared" si="1"/>
        <v>1640000</v>
      </c>
      <c r="V21" s="66">
        <f t="shared" si="2"/>
        <v>3153500</v>
      </c>
      <c r="W21" s="62">
        <f t="shared" si="6"/>
        <v>1489081</v>
      </c>
      <c r="X21" s="66"/>
      <c r="Y21" s="295" t="s">
        <v>862</v>
      </c>
      <c r="Z21" s="60">
        <v>1640000</v>
      </c>
      <c r="AA21" s="68">
        <v>2189000</v>
      </c>
    </row>
    <row r="22" spans="1:27" ht="46.5" customHeight="1">
      <c r="A22" s="626">
        <f t="shared" si="7"/>
        <v>534</v>
      </c>
      <c r="B22" s="704" t="s">
        <v>863</v>
      </c>
      <c r="C22" s="62">
        <v>0</v>
      </c>
      <c r="D22" s="62">
        <v>426500</v>
      </c>
      <c r="E22" s="238">
        <v>65255</v>
      </c>
      <c r="F22" s="238">
        <v>108500</v>
      </c>
      <c r="G22" s="238">
        <v>121500</v>
      </c>
      <c r="H22" s="300" t="s">
        <v>864</v>
      </c>
      <c r="I22" s="62">
        <v>130000</v>
      </c>
      <c r="J22" s="62">
        <v>125000</v>
      </c>
      <c r="K22" s="62">
        <f>J22</f>
        <v>125000</v>
      </c>
      <c r="L22" s="56">
        <f>130000+60000</f>
        <v>190000</v>
      </c>
      <c r="M22" s="56">
        <v>121600</v>
      </c>
      <c r="N22" s="56">
        <f t="shared" si="0"/>
        <v>311600</v>
      </c>
      <c r="O22" s="312" t="s">
        <v>865</v>
      </c>
      <c r="P22" s="56">
        <f t="shared" si="4"/>
        <v>311600</v>
      </c>
      <c r="Q22" s="706">
        <v>176600</v>
      </c>
      <c r="R22" s="466"/>
      <c r="S22" s="706">
        <v>404900</v>
      </c>
      <c r="T22" s="66">
        <f t="shared" si="3"/>
        <v>404900</v>
      </c>
      <c r="U22" s="66">
        <f t="shared" si="1"/>
        <v>581500</v>
      </c>
      <c r="V22" s="66">
        <f t="shared" si="2"/>
        <v>893100</v>
      </c>
      <c r="W22" s="62">
        <f t="shared" si="6"/>
        <v>311755</v>
      </c>
      <c r="X22" s="137" t="s">
        <v>866</v>
      </c>
      <c r="Y22" s="295" t="s">
        <v>867</v>
      </c>
      <c r="Z22" s="60">
        <v>581500</v>
      </c>
      <c r="AA22" s="68">
        <v>426500</v>
      </c>
    </row>
    <row r="23" spans="1:27" ht="36" customHeight="1">
      <c r="A23" s="626">
        <f t="shared" si="7"/>
        <v>535</v>
      </c>
      <c r="B23" s="704" t="s">
        <v>868</v>
      </c>
      <c r="C23" s="62">
        <v>137700</v>
      </c>
      <c r="D23" s="62">
        <v>141000</v>
      </c>
      <c r="F23" s="238">
        <v>25000</v>
      </c>
      <c r="G23" s="238">
        <v>10000</v>
      </c>
      <c r="I23" s="62"/>
      <c r="J23" s="62">
        <v>26000</v>
      </c>
      <c r="K23" s="62">
        <f t="shared" ref="K23:K25" si="8">J23</f>
        <v>26000</v>
      </c>
      <c r="L23" s="56"/>
      <c r="M23" s="56">
        <v>45000</v>
      </c>
      <c r="N23" s="56">
        <f t="shared" si="0"/>
        <v>45000</v>
      </c>
      <c r="O23" s="312" t="s">
        <v>869</v>
      </c>
      <c r="P23" s="56">
        <f t="shared" si="4"/>
        <v>45000</v>
      </c>
      <c r="Q23" s="293">
        <v>50000</v>
      </c>
      <c r="R23" s="293"/>
      <c r="S23" s="293">
        <v>45000</v>
      </c>
      <c r="T23" s="66">
        <f t="shared" si="3"/>
        <v>45000</v>
      </c>
      <c r="U23" s="66">
        <f t="shared" si="1"/>
        <v>95000</v>
      </c>
      <c r="V23" s="66">
        <f t="shared" si="2"/>
        <v>140000</v>
      </c>
      <c r="W23" s="62">
        <f t="shared" si="6"/>
        <v>36000</v>
      </c>
      <c r="X23" s="66"/>
      <c r="Y23" s="295" t="s">
        <v>870</v>
      </c>
      <c r="Z23" s="60">
        <v>95000</v>
      </c>
      <c r="AA23" s="68">
        <v>141000</v>
      </c>
    </row>
    <row r="24" spans="1:27" ht="46.5" customHeight="1">
      <c r="A24" s="626">
        <f t="shared" si="7"/>
        <v>536</v>
      </c>
      <c r="B24" s="704" t="s">
        <v>871</v>
      </c>
      <c r="C24" s="62">
        <v>1010700</v>
      </c>
      <c r="D24" s="62">
        <v>413500</v>
      </c>
      <c r="E24" s="238">
        <v>172523</v>
      </c>
      <c r="F24" s="238">
        <v>163500</v>
      </c>
      <c r="G24" s="238">
        <v>148500</v>
      </c>
      <c r="H24" s="300" t="s">
        <v>872</v>
      </c>
      <c r="I24" s="62"/>
      <c r="J24" s="62">
        <v>180000</v>
      </c>
      <c r="K24" s="62">
        <f t="shared" si="8"/>
        <v>180000</v>
      </c>
      <c r="L24" s="56"/>
      <c r="M24" s="56">
        <v>150000</v>
      </c>
      <c r="N24" s="56">
        <f t="shared" si="0"/>
        <v>150000</v>
      </c>
      <c r="O24" s="312" t="s">
        <v>873</v>
      </c>
      <c r="P24" s="56">
        <f t="shared" si="4"/>
        <v>150000</v>
      </c>
      <c r="Q24" s="311">
        <v>125000</v>
      </c>
      <c r="R24" s="293"/>
      <c r="S24" s="311">
        <v>140000</v>
      </c>
      <c r="T24" s="66">
        <f t="shared" si="3"/>
        <v>140000</v>
      </c>
      <c r="U24" s="66">
        <f t="shared" si="1"/>
        <v>265000</v>
      </c>
      <c r="V24" s="66">
        <f t="shared" si="2"/>
        <v>415000</v>
      </c>
      <c r="W24" s="62">
        <f t="shared" si="6"/>
        <v>501023</v>
      </c>
      <c r="X24" s="66"/>
      <c r="Y24" s="295" t="s">
        <v>873</v>
      </c>
      <c r="Z24" s="60">
        <v>285000</v>
      </c>
      <c r="AA24" s="68">
        <v>413500</v>
      </c>
    </row>
    <row r="25" spans="1:27">
      <c r="A25" s="626">
        <f t="shared" si="7"/>
        <v>537</v>
      </c>
      <c r="B25" s="298" t="s">
        <v>190</v>
      </c>
      <c r="C25" s="238">
        <f>'[4]Salary Summary GC Adopted'!Y23</f>
        <v>3253686.3596491003</v>
      </c>
      <c r="D25" s="62">
        <v>5093987.9355199318</v>
      </c>
      <c r="E25" s="238">
        <v>1409568</v>
      </c>
      <c r="F25" s="238">
        <f>'[3]Salary Summary 19 for 2019-2021'!L25</f>
        <v>1739602.9521984227</v>
      </c>
      <c r="G25" s="238">
        <v>1739602.9521984227</v>
      </c>
      <c r="J25" s="238">
        <f>'[3]Salary Summary 20 for 2019-2021'!P25</f>
        <v>1785691.975278591</v>
      </c>
      <c r="K25" s="62">
        <f t="shared" si="8"/>
        <v>1785691.975278591</v>
      </c>
      <c r="L25" s="239"/>
      <c r="M25" s="56">
        <f>'Salary Summary 21 for 2022-2024'!M26</f>
        <v>1814507.7470164283</v>
      </c>
      <c r="N25" s="56">
        <f t="shared" si="0"/>
        <v>1814507.7470164283</v>
      </c>
      <c r="O25" s="312"/>
      <c r="P25" s="56">
        <f t="shared" si="4"/>
        <v>1814507.7470164283</v>
      </c>
      <c r="Q25" s="293">
        <f>'Salary Summary 21 for 2022-2024'!Q26</f>
        <v>1874436.4418514762</v>
      </c>
      <c r="R25" s="293"/>
      <c r="S25" s="293">
        <f>'Salary Summary 21 for 2022-2024'!U26</f>
        <v>1933290.5657568465</v>
      </c>
      <c r="T25" s="66">
        <f t="shared" si="3"/>
        <v>1933290.5657568465</v>
      </c>
      <c r="U25" s="66">
        <f t="shared" si="1"/>
        <v>3807727.0076083224</v>
      </c>
      <c r="V25" s="66">
        <f>U25+P25</f>
        <v>5622234.7546247505</v>
      </c>
      <c r="W25" s="62">
        <f t="shared" si="6"/>
        <v>4934862.9274770133</v>
      </c>
      <c r="X25" s="66"/>
      <c r="Y25" s="293"/>
      <c r="Z25" s="60">
        <v>3838390.0524144359</v>
      </c>
      <c r="AA25" s="68">
        <v>5063639.8652466591</v>
      </c>
    </row>
    <row r="26" spans="1:27">
      <c r="A26" s="626">
        <f>A25+1</f>
        <v>538</v>
      </c>
      <c r="B26" s="298" t="s">
        <v>874</v>
      </c>
      <c r="D26" s="62">
        <v>-400000</v>
      </c>
      <c r="F26" s="238">
        <v>0</v>
      </c>
      <c r="L26" s="239"/>
      <c r="M26" s="239"/>
      <c r="N26" s="239">
        <f t="shared" si="0"/>
        <v>0</v>
      </c>
      <c r="O26" s="312"/>
      <c r="P26" s="239">
        <f t="shared" si="4"/>
        <v>0</v>
      </c>
      <c r="Q26" s="293"/>
      <c r="R26" s="293"/>
      <c r="S26" s="293"/>
      <c r="T26" s="66">
        <f t="shared" si="3"/>
        <v>0</v>
      </c>
      <c r="U26" s="66">
        <f t="shared" si="1"/>
        <v>0</v>
      </c>
      <c r="V26" s="66">
        <f t="shared" si="2"/>
        <v>0</v>
      </c>
      <c r="X26" s="66"/>
      <c r="Y26" s="293"/>
      <c r="Z26" s="346">
        <v>0</v>
      </c>
      <c r="AA26" s="68">
        <v>-370000</v>
      </c>
    </row>
    <row r="27" spans="1:27">
      <c r="A27" s="626" t="s">
        <v>875</v>
      </c>
      <c r="B27" s="298" t="s">
        <v>876</v>
      </c>
      <c r="D27" s="62"/>
      <c r="K27" s="238">
        <f>I28</f>
        <v>2563000</v>
      </c>
      <c r="L27" s="239"/>
      <c r="M27" s="239"/>
      <c r="N27" s="239">
        <f t="shared" si="0"/>
        <v>0</v>
      </c>
      <c r="O27" s="312"/>
      <c r="P27" s="239">
        <f t="shared" si="4"/>
        <v>0</v>
      </c>
      <c r="Q27" s="293"/>
      <c r="R27" s="293"/>
      <c r="S27" s="293"/>
      <c r="T27" s="293"/>
      <c r="U27" s="293"/>
      <c r="V27" s="293">
        <f t="shared" si="2"/>
        <v>0</v>
      </c>
      <c r="W27" s="238">
        <f t="shared" ref="W27:W35" si="9">E27+G27+K27</f>
        <v>2563000</v>
      </c>
      <c r="X27" s="293"/>
      <c r="Y27" s="293"/>
      <c r="AA27" s="335"/>
    </row>
    <row r="28" spans="1:27" s="310" customFormat="1">
      <c r="A28" s="710">
        <f>A26+1</f>
        <v>539</v>
      </c>
      <c r="B28" s="529" t="s">
        <v>877</v>
      </c>
      <c r="C28" s="92">
        <f>SUM(C8:C25)</f>
        <v>9510024.3596490994</v>
      </c>
      <c r="D28" s="92">
        <f>SUM(D8:D26)</f>
        <v>13131487.935519932</v>
      </c>
      <c r="E28" s="92">
        <f>SUM(E8:E26)</f>
        <v>3034276</v>
      </c>
      <c r="F28" s="92">
        <f>SUM(F8:F26)</f>
        <v>4876102.9521984225</v>
      </c>
      <c r="G28" s="92">
        <f>SUM(G8:G26)</f>
        <v>4381102.9521984225</v>
      </c>
      <c r="H28" s="142"/>
      <c r="I28" s="92">
        <f t="shared" ref="I28:N28" si="10">SUM(I8:I27)</f>
        <v>2563000</v>
      </c>
      <c r="J28" s="92">
        <f t="shared" si="10"/>
        <v>3354491.9752785908</v>
      </c>
      <c r="K28" s="92">
        <f t="shared" si="10"/>
        <v>5917491.9752785908</v>
      </c>
      <c r="L28" s="93">
        <f t="shared" si="10"/>
        <v>3111500</v>
      </c>
      <c r="M28" s="93">
        <f t="shared" si="10"/>
        <v>3800932.747016428</v>
      </c>
      <c r="N28" s="93">
        <f t="shared" si="10"/>
        <v>6962432.747016428</v>
      </c>
      <c r="O28" s="518"/>
      <c r="P28" s="93">
        <f t="shared" si="4"/>
        <v>6962432.747016428</v>
      </c>
      <c r="Q28" s="95">
        <f t="shared" ref="Q28:Y28" si="11">SUM(Q8:Q27)</f>
        <v>4230661.4418514762</v>
      </c>
      <c r="R28" s="95">
        <f t="shared" si="11"/>
        <v>2188000</v>
      </c>
      <c r="S28" s="95">
        <f t="shared" si="11"/>
        <v>4357665.5657568462</v>
      </c>
      <c r="T28" s="95">
        <f t="shared" si="11"/>
        <v>6545665.5657568462</v>
      </c>
      <c r="U28" s="95">
        <f t="shared" si="11"/>
        <v>10776327.007608322</v>
      </c>
      <c r="V28" s="95">
        <f t="shared" si="11"/>
        <v>17738759.75462475</v>
      </c>
      <c r="W28" s="92">
        <f t="shared" si="9"/>
        <v>13332870.927477013</v>
      </c>
      <c r="X28" s="95"/>
      <c r="Y28" s="95">
        <f t="shared" si="11"/>
        <v>0</v>
      </c>
      <c r="Z28" s="98">
        <v>10986490.052414436</v>
      </c>
      <c r="AA28" s="99">
        <v>13580139.865246659</v>
      </c>
    </row>
    <row r="29" spans="1:27">
      <c r="A29" s="626">
        <f t="shared" si="7"/>
        <v>540</v>
      </c>
      <c r="C29" s="62"/>
      <c r="D29" s="62"/>
      <c r="E29" s="62"/>
      <c r="F29" s="62"/>
      <c r="G29" s="62"/>
      <c r="H29" s="63"/>
      <c r="I29" s="62"/>
      <c r="J29" s="62"/>
      <c r="K29" s="62"/>
      <c r="L29" s="56"/>
      <c r="M29" s="56"/>
      <c r="N29" s="56">
        <f t="shared" si="0"/>
        <v>0</v>
      </c>
      <c r="O29" s="332"/>
      <c r="P29" s="56">
        <f t="shared" si="4"/>
        <v>0</v>
      </c>
      <c r="Q29" s="293"/>
      <c r="R29" s="293"/>
      <c r="S29" s="293"/>
      <c r="T29" s="293"/>
      <c r="U29" s="293"/>
      <c r="V29" s="293">
        <f t="shared" si="2"/>
        <v>0</v>
      </c>
      <c r="W29" s="62">
        <f t="shared" si="9"/>
        <v>0</v>
      </c>
      <c r="X29" s="293"/>
      <c r="Y29" s="293"/>
      <c r="Z29" s="60"/>
      <c r="AA29" s="335"/>
    </row>
    <row r="30" spans="1:27">
      <c r="A30" s="626">
        <f t="shared" si="7"/>
        <v>541</v>
      </c>
      <c r="D30" s="238">
        <v>0</v>
      </c>
      <c r="F30" s="62"/>
      <c r="G30" s="62"/>
      <c r="H30" s="63"/>
      <c r="L30" s="239"/>
      <c r="M30" s="239"/>
      <c r="N30" s="239">
        <f t="shared" si="0"/>
        <v>0</v>
      </c>
      <c r="O30" s="312"/>
      <c r="P30" s="239">
        <f t="shared" si="4"/>
        <v>0</v>
      </c>
      <c r="Q30" s="293"/>
      <c r="R30" s="293"/>
      <c r="S30" s="293"/>
      <c r="T30" s="293"/>
      <c r="U30" s="293"/>
      <c r="V30" s="293">
        <f t="shared" si="2"/>
        <v>0</v>
      </c>
      <c r="W30" s="238">
        <f t="shared" si="9"/>
        <v>0</v>
      </c>
      <c r="X30" s="293"/>
      <c r="Y30" s="293"/>
      <c r="AA30" s="335"/>
    </row>
    <row r="31" spans="1:27">
      <c r="F31" s="62"/>
      <c r="G31" s="62"/>
      <c r="H31" s="63"/>
      <c r="L31" s="239"/>
      <c r="M31" s="239"/>
      <c r="N31" s="239">
        <f t="shared" si="0"/>
        <v>0</v>
      </c>
      <c r="O31" s="312"/>
      <c r="P31" s="239">
        <f t="shared" si="4"/>
        <v>0</v>
      </c>
      <c r="Q31" s="293"/>
      <c r="R31" s="293"/>
      <c r="S31" s="293"/>
      <c r="T31" s="293"/>
      <c r="U31" s="293"/>
      <c r="V31" s="293">
        <f t="shared" si="2"/>
        <v>0</v>
      </c>
      <c r="W31" s="238">
        <f t="shared" si="9"/>
        <v>0</v>
      </c>
      <c r="X31" s="293"/>
      <c r="Y31" s="293"/>
      <c r="AA31" s="335"/>
    </row>
    <row r="32" spans="1:27">
      <c r="A32" s="702">
        <f>A30+1</f>
        <v>542</v>
      </c>
      <c r="B32" s="310" t="s">
        <v>878</v>
      </c>
      <c r="D32" s="238">
        <v>0</v>
      </c>
      <c r="F32" s="62"/>
      <c r="G32" s="62"/>
      <c r="H32" s="63"/>
      <c r="L32" s="239"/>
      <c r="M32" s="239"/>
      <c r="N32" s="239">
        <f t="shared" si="0"/>
        <v>0</v>
      </c>
      <c r="O32" s="312"/>
      <c r="P32" s="239">
        <f t="shared" si="4"/>
        <v>0</v>
      </c>
      <c r="Q32" s="293"/>
      <c r="R32" s="293"/>
      <c r="S32" s="293"/>
      <c r="T32" s="293"/>
      <c r="U32" s="293"/>
      <c r="V32" s="293">
        <f t="shared" si="2"/>
        <v>0</v>
      </c>
      <c r="W32" s="238">
        <f t="shared" si="9"/>
        <v>0</v>
      </c>
      <c r="X32" s="293"/>
      <c r="Y32" s="293"/>
      <c r="AA32" s="335"/>
    </row>
    <row r="33" spans="1:27" ht="50.65" customHeight="1">
      <c r="A33" s="626">
        <f t="shared" si="7"/>
        <v>543</v>
      </c>
      <c r="B33" s="298" t="s">
        <v>879</v>
      </c>
      <c r="C33" s="238">
        <v>135000</v>
      </c>
      <c r="D33" s="62">
        <v>15000</v>
      </c>
      <c r="E33" s="62"/>
      <c r="F33" s="62">
        <v>5000</v>
      </c>
      <c r="G33" s="62">
        <v>5000</v>
      </c>
      <c r="H33" s="63"/>
      <c r="I33" s="62"/>
      <c r="J33" s="62">
        <v>5000</v>
      </c>
      <c r="K33" s="62">
        <f>J33</f>
        <v>5000</v>
      </c>
      <c r="L33" s="56"/>
      <c r="M33" s="56">
        <f>80000+5000</f>
        <v>85000</v>
      </c>
      <c r="N33" s="56">
        <f t="shared" si="0"/>
        <v>85000</v>
      </c>
      <c r="O33" s="332" t="s">
        <v>880</v>
      </c>
      <c r="P33" s="56">
        <f t="shared" si="4"/>
        <v>85000</v>
      </c>
      <c r="Q33" s="311">
        <v>5000</v>
      </c>
      <c r="R33" s="293"/>
      <c r="S33" s="311">
        <v>5000</v>
      </c>
      <c r="T33" s="66">
        <f t="shared" ref="T33" si="12">R33+S33</f>
        <v>5000</v>
      </c>
      <c r="U33" s="66">
        <f>Q33+T33</f>
        <v>10000</v>
      </c>
      <c r="V33" s="66">
        <f t="shared" si="2"/>
        <v>95000</v>
      </c>
      <c r="W33" s="62">
        <f t="shared" si="9"/>
        <v>10000</v>
      </c>
      <c r="X33" s="585" t="s">
        <v>881</v>
      </c>
      <c r="Y33" s="295" t="s">
        <v>882</v>
      </c>
      <c r="Z33" s="60">
        <v>170000</v>
      </c>
      <c r="AA33" s="68">
        <v>15000</v>
      </c>
    </row>
    <row r="34" spans="1:27" ht="27.4" customHeight="1">
      <c r="A34" s="626">
        <f t="shared" si="7"/>
        <v>544</v>
      </c>
      <c r="B34" s="298" t="s">
        <v>883</v>
      </c>
      <c r="C34" s="238">
        <f>30000+20000</f>
        <v>50000</v>
      </c>
      <c r="D34" s="62">
        <v>50000</v>
      </c>
      <c r="E34" s="62"/>
      <c r="F34" s="62">
        <v>16667</v>
      </c>
      <c r="G34" s="62">
        <v>16667</v>
      </c>
      <c r="H34" s="63"/>
      <c r="I34" s="62"/>
      <c r="J34" s="62">
        <v>16667</v>
      </c>
      <c r="K34" s="62">
        <f>J34</f>
        <v>16667</v>
      </c>
      <c r="L34" s="56"/>
      <c r="M34" s="56">
        <v>16666</v>
      </c>
      <c r="N34" s="56">
        <f t="shared" si="0"/>
        <v>16666</v>
      </c>
      <c r="O34" s="332" t="s">
        <v>884</v>
      </c>
      <c r="P34" s="56">
        <f t="shared" si="4"/>
        <v>16666</v>
      </c>
      <c r="Q34" s="293">
        <v>16667</v>
      </c>
      <c r="R34" s="293"/>
      <c r="S34" s="293">
        <v>16667</v>
      </c>
      <c r="T34" s="66">
        <v>16667</v>
      </c>
      <c r="U34" s="66">
        <f>Q34+T34</f>
        <v>33334</v>
      </c>
      <c r="V34" s="66">
        <f t="shared" si="2"/>
        <v>50000</v>
      </c>
      <c r="W34" s="62">
        <f t="shared" si="9"/>
        <v>33334</v>
      </c>
      <c r="X34" s="66"/>
      <c r="Y34" s="293" t="s">
        <v>885</v>
      </c>
      <c r="Z34" s="60">
        <v>33334</v>
      </c>
      <c r="AA34" s="68">
        <v>50000</v>
      </c>
    </row>
    <row r="35" spans="1:27">
      <c r="A35" s="710">
        <f t="shared" si="7"/>
        <v>545</v>
      </c>
      <c r="B35" s="525" t="s">
        <v>886</v>
      </c>
      <c r="C35" s="92">
        <f>SUM(C33:C34)</f>
        <v>185000</v>
      </c>
      <c r="D35" s="92">
        <v>65000</v>
      </c>
      <c r="E35" s="92">
        <v>20085</v>
      </c>
      <c r="F35" s="92">
        <f t="shared" ref="F35:J35" si="13">SUM(F33:F34)</f>
        <v>21667</v>
      </c>
      <c r="G35" s="92">
        <f t="shared" si="13"/>
        <v>21667</v>
      </c>
      <c r="H35" s="142"/>
      <c r="I35" s="92">
        <f t="shared" si="13"/>
        <v>0</v>
      </c>
      <c r="J35" s="92">
        <f t="shared" si="13"/>
        <v>21667</v>
      </c>
      <c r="K35" s="92">
        <v>21667</v>
      </c>
      <c r="L35" s="93">
        <f t="shared" ref="L35:N35" si="14">SUM(L33:L34)</f>
        <v>0</v>
      </c>
      <c r="M35" s="93">
        <f t="shared" si="14"/>
        <v>101666</v>
      </c>
      <c r="N35" s="93">
        <f t="shared" si="14"/>
        <v>101666</v>
      </c>
      <c r="O35" s="518"/>
      <c r="P35" s="93">
        <f t="shared" si="4"/>
        <v>101666</v>
      </c>
      <c r="Q35" s="95">
        <f t="shared" ref="Q35:Y35" si="15">SUM(Q33:Q34)</f>
        <v>21667</v>
      </c>
      <c r="R35" s="95">
        <f t="shared" si="15"/>
        <v>0</v>
      </c>
      <c r="S35" s="95">
        <f t="shared" si="15"/>
        <v>21667</v>
      </c>
      <c r="T35" s="95">
        <f t="shared" si="15"/>
        <v>21667</v>
      </c>
      <c r="U35" s="95">
        <f t="shared" si="15"/>
        <v>43334</v>
      </c>
      <c r="V35" s="95">
        <f t="shared" si="15"/>
        <v>145000</v>
      </c>
      <c r="W35" s="92">
        <f t="shared" si="9"/>
        <v>63419</v>
      </c>
      <c r="X35" s="95"/>
      <c r="Y35" s="95">
        <f t="shared" si="15"/>
        <v>0</v>
      </c>
      <c r="Z35" s="98">
        <v>203334</v>
      </c>
      <c r="AA35" s="99">
        <v>65000</v>
      </c>
    </row>
    <row r="36" spans="1:27">
      <c r="A36" s="626">
        <f t="shared" si="7"/>
        <v>546</v>
      </c>
      <c r="D36" s="238">
        <v>0</v>
      </c>
      <c r="F36" s="62"/>
      <c r="G36" s="62"/>
      <c r="H36" s="63"/>
      <c r="L36" s="239"/>
      <c r="M36" s="239"/>
      <c r="N36" s="239">
        <f t="shared" si="0"/>
        <v>0</v>
      </c>
      <c r="O36" s="312"/>
      <c r="P36" s="239">
        <f t="shared" si="4"/>
        <v>0</v>
      </c>
      <c r="Q36" s="293"/>
      <c r="R36" s="293"/>
      <c r="S36" s="293"/>
      <c r="T36" s="293"/>
      <c r="U36" s="293"/>
      <c r="V36" s="293">
        <f t="shared" si="2"/>
        <v>0</v>
      </c>
      <c r="X36" s="293"/>
      <c r="Y36" s="293"/>
      <c r="AA36" s="335"/>
    </row>
    <row r="37" spans="1:27">
      <c r="A37" s="702">
        <f t="shared" si="7"/>
        <v>547</v>
      </c>
      <c r="B37" s="310" t="s">
        <v>887</v>
      </c>
      <c r="D37" s="238">
        <v>0</v>
      </c>
      <c r="F37" s="62"/>
      <c r="G37" s="62"/>
      <c r="H37" s="63"/>
      <c r="L37" s="239"/>
      <c r="M37" s="239"/>
      <c r="N37" s="239">
        <f t="shared" si="0"/>
        <v>0</v>
      </c>
      <c r="O37" s="312"/>
      <c r="P37" s="239">
        <f t="shared" si="4"/>
        <v>0</v>
      </c>
      <c r="Q37" s="293"/>
      <c r="R37" s="293"/>
      <c r="S37" s="293"/>
      <c r="T37" s="293"/>
      <c r="U37" s="293"/>
      <c r="V37" s="293">
        <f t="shared" si="2"/>
        <v>0</v>
      </c>
      <c r="X37" s="293"/>
      <c r="Y37" s="293"/>
      <c r="AA37" s="335"/>
    </row>
    <row r="38" spans="1:27" ht="32.65" customHeight="1">
      <c r="A38" s="626">
        <f t="shared" si="7"/>
        <v>548</v>
      </c>
      <c r="B38" s="298" t="s">
        <v>888</v>
      </c>
      <c r="C38" s="238">
        <v>93600</v>
      </c>
      <c r="D38" s="62">
        <v>96000</v>
      </c>
      <c r="E38" s="62">
        <v>23809</v>
      </c>
      <c r="F38" s="62">
        <v>32000</v>
      </c>
      <c r="G38" s="62">
        <v>0</v>
      </c>
      <c r="H38" s="63" t="s">
        <v>889</v>
      </c>
      <c r="I38" s="62"/>
      <c r="J38" s="62">
        <v>32000</v>
      </c>
      <c r="K38" s="62">
        <f>J38</f>
        <v>32000</v>
      </c>
      <c r="L38" s="56"/>
      <c r="M38" s="56">
        <v>50000</v>
      </c>
      <c r="N38" s="56">
        <f t="shared" si="0"/>
        <v>50000</v>
      </c>
      <c r="O38" s="332" t="s">
        <v>890</v>
      </c>
      <c r="P38" s="56">
        <f t="shared" si="4"/>
        <v>50000</v>
      </c>
      <c r="Q38" s="311">
        <f>34000-17000</f>
        <v>17000</v>
      </c>
      <c r="R38" s="293"/>
      <c r="S38" s="293">
        <v>34000</v>
      </c>
      <c r="T38" s="66">
        <f t="shared" ref="T38:T51" si="16">R38+S38</f>
        <v>34000</v>
      </c>
      <c r="U38" s="66">
        <f t="shared" ref="U38:U51" si="17">Q38+T38</f>
        <v>51000</v>
      </c>
      <c r="V38" s="66">
        <f t="shared" si="2"/>
        <v>101000</v>
      </c>
      <c r="W38" s="62">
        <f t="shared" ref="W38:W51" si="18">E38+G38+K38</f>
        <v>55809</v>
      </c>
      <c r="X38" s="586" t="s">
        <v>891</v>
      </c>
      <c r="Y38" s="293" t="s">
        <v>892</v>
      </c>
      <c r="Z38" s="60">
        <v>68000</v>
      </c>
      <c r="AA38" s="68">
        <v>0</v>
      </c>
    </row>
    <row r="39" spans="1:27">
      <c r="A39" s="626">
        <f t="shared" si="7"/>
        <v>549</v>
      </c>
      <c r="B39" s="298" t="s">
        <v>893</v>
      </c>
      <c r="C39" s="238">
        <v>3300</v>
      </c>
      <c r="D39" s="62">
        <v>6000</v>
      </c>
      <c r="E39" s="62">
        <v>316</v>
      </c>
      <c r="F39" s="62">
        <v>2000</v>
      </c>
      <c r="G39" s="62">
        <v>2000</v>
      </c>
      <c r="H39" s="63"/>
      <c r="I39" s="62"/>
      <c r="J39" s="62">
        <v>2000</v>
      </c>
      <c r="K39" s="62">
        <f t="shared" ref="K39:K48" si="19">J39</f>
        <v>2000</v>
      </c>
      <c r="L39" s="56"/>
      <c r="M39" s="56">
        <v>2000</v>
      </c>
      <c r="N39" s="56">
        <f t="shared" si="0"/>
        <v>2000</v>
      </c>
      <c r="O39" s="332"/>
      <c r="P39" s="56">
        <f t="shared" si="4"/>
        <v>2000</v>
      </c>
      <c r="Q39" s="293">
        <v>2000</v>
      </c>
      <c r="R39" s="293"/>
      <c r="S39" s="293">
        <v>2000</v>
      </c>
      <c r="T39" s="66">
        <f t="shared" si="16"/>
        <v>2000</v>
      </c>
      <c r="U39" s="66">
        <f t="shared" si="17"/>
        <v>4000</v>
      </c>
      <c r="V39" s="66">
        <f t="shared" si="2"/>
        <v>6000</v>
      </c>
      <c r="W39" s="62">
        <f t="shared" si="18"/>
        <v>4316</v>
      </c>
      <c r="X39" s="66"/>
      <c r="Y39" s="293"/>
      <c r="Z39" s="60">
        <v>4000</v>
      </c>
      <c r="AA39" s="68">
        <v>6000</v>
      </c>
    </row>
    <row r="40" spans="1:27" ht="20.25" customHeight="1">
      <c r="A40" s="626" t="s">
        <v>894</v>
      </c>
      <c r="B40" s="298" t="s">
        <v>895</v>
      </c>
      <c r="D40" s="62">
        <v>268500</v>
      </c>
      <c r="E40" s="62">
        <f>D40/3</f>
        <v>89500</v>
      </c>
      <c r="F40" s="62">
        <v>89500</v>
      </c>
      <c r="G40" s="62">
        <f>89500+29500</f>
        <v>119000</v>
      </c>
      <c r="H40" s="63"/>
      <c r="I40" s="62"/>
      <c r="J40" s="62">
        <v>86500</v>
      </c>
      <c r="K40" s="62">
        <f t="shared" si="19"/>
        <v>86500</v>
      </c>
      <c r="L40" s="56"/>
      <c r="M40" s="56">
        <v>100000</v>
      </c>
      <c r="N40" s="56">
        <f t="shared" si="0"/>
        <v>100000</v>
      </c>
      <c r="O40" s="332" t="s">
        <v>896</v>
      </c>
      <c r="P40" s="56">
        <f t="shared" si="4"/>
        <v>100000</v>
      </c>
      <c r="Q40" s="293">
        <f>N40*1.03</f>
        <v>103000</v>
      </c>
      <c r="R40" s="293"/>
      <c r="S40" s="293">
        <f>Q40*1.03</f>
        <v>106090</v>
      </c>
      <c r="T40" s="66">
        <f t="shared" si="16"/>
        <v>106090</v>
      </c>
      <c r="U40" s="66">
        <f t="shared" si="17"/>
        <v>209090</v>
      </c>
      <c r="V40" s="66">
        <f t="shared" si="2"/>
        <v>309090</v>
      </c>
      <c r="W40" s="62">
        <f t="shared" si="18"/>
        <v>295000</v>
      </c>
      <c r="X40" s="66"/>
      <c r="Y40" s="293"/>
      <c r="Z40" s="60">
        <v>209090</v>
      </c>
      <c r="AA40" s="68">
        <v>268500</v>
      </c>
    </row>
    <row r="41" spans="1:27" ht="25.9" customHeight="1">
      <c r="A41" s="626" t="s">
        <v>897</v>
      </c>
      <c r="B41" s="298" t="s">
        <v>898</v>
      </c>
      <c r="D41" s="62"/>
      <c r="E41" s="62"/>
      <c r="F41" s="62"/>
      <c r="G41" s="62"/>
      <c r="H41" s="63"/>
      <c r="I41" s="62"/>
      <c r="J41" s="62">
        <v>3000</v>
      </c>
      <c r="K41" s="62">
        <f t="shared" si="19"/>
        <v>3000</v>
      </c>
      <c r="L41" s="56"/>
      <c r="M41" s="56">
        <v>5500</v>
      </c>
      <c r="N41" s="56">
        <f t="shared" si="0"/>
        <v>5500</v>
      </c>
      <c r="O41" s="332" t="s">
        <v>899</v>
      </c>
      <c r="P41" s="56">
        <f t="shared" si="4"/>
        <v>5500</v>
      </c>
      <c r="Q41" s="293">
        <v>5500</v>
      </c>
      <c r="R41" s="293"/>
      <c r="S41" s="293">
        <v>5500</v>
      </c>
      <c r="T41" s="66">
        <f t="shared" si="16"/>
        <v>5500</v>
      </c>
      <c r="U41" s="66">
        <f t="shared" si="17"/>
        <v>11000</v>
      </c>
      <c r="V41" s="66">
        <f t="shared" si="2"/>
        <v>16500</v>
      </c>
      <c r="W41" s="62">
        <f t="shared" si="18"/>
        <v>3000</v>
      </c>
      <c r="X41" s="66"/>
      <c r="Y41" s="295" t="s">
        <v>900</v>
      </c>
      <c r="Z41" s="60">
        <v>11000</v>
      </c>
      <c r="AA41" s="68"/>
    </row>
    <row r="42" spans="1:27" ht="25.25" customHeight="1">
      <c r="A42" s="626">
        <v>551</v>
      </c>
      <c r="B42" s="298" t="s">
        <v>901</v>
      </c>
      <c r="C42" s="238">
        <v>250000</v>
      </c>
      <c r="D42" s="62">
        <v>171000</v>
      </c>
      <c r="E42" s="62">
        <f>D42/3</f>
        <v>57000</v>
      </c>
      <c r="F42" s="62">
        <v>41097</v>
      </c>
      <c r="G42" s="62">
        <v>93247</v>
      </c>
      <c r="H42" s="63" t="s">
        <v>902</v>
      </c>
      <c r="I42" s="62">
        <v>833</v>
      </c>
      <c r="J42" s="62">
        <v>97909</v>
      </c>
      <c r="K42" s="62">
        <f t="shared" si="19"/>
        <v>97909</v>
      </c>
      <c r="L42" s="56">
        <v>833</v>
      </c>
      <c r="M42" s="56">
        <f>(97909+108000)*1.03*8/12</f>
        <v>141390.84666666668</v>
      </c>
      <c r="N42" s="56">
        <f t="shared" si="0"/>
        <v>142223.84666666668</v>
      </c>
      <c r="O42" s="332" t="s">
        <v>903</v>
      </c>
      <c r="P42" s="56">
        <f t="shared" si="4"/>
        <v>142223.84666666668</v>
      </c>
      <c r="Q42" s="293"/>
      <c r="R42" s="293"/>
      <c r="S42" s="293"/>
      <c r="T42" s="66">
        <f t="shared" si="16"/>
        <v>0</v>
      </c>
      <c r="U42" s="66">
        <f t="shared" si="17"/>
        <v>0</v>
      </c>
      <c r="V42" s="66">
        <f t="shared" si="2"/>
        <v>142223.84666666668</v>
      </c>
      <c r="W42" s="62">
        <f t="shared" si="18"/>
        <v>248156</v>
      </c>
      <c r="X42" s="66"/>
      <c r="Y42" s="293"/>
      <c r="Z42" s="60">
        <v>0</v>
      </c>
      <c r="AA42" s="68">
        <v>171000</v>
      </c>
    </row>
    <row r="43" spans="1:27" ht="21.95" customHeight="1">
      <c r="A43" s="626">
        <f t="shared" si="7"/>
        <v>552</v>
      </c>
      <c r="B43" s="298" t="s">
        <v>443</v>
      </c>
      <c r="D43" s="62">
        <v>185000</v>
      </c>
      <c r="E43" s="276">
        <f>D43/3</f>
        <v>61666.666666666664</v>
      </c>
      <c r="F43" s="276">
        <v>60000</v>
      </c>
      <c r="G43" s="276">
        <v>24000</v>
      </c>
      <c r="H43" s="277" t="s">
        <v>904</v>
      </c>
      <c r="I43" s="276">
        <v>5000</v>
      </c>
      <c r="J43" s="276">
        <v>60000</v>
      </c>
      <c r="K43" s="62">
        <f t="shared" si="19"/>
        <v>60000</v>
      </c>
      <c r="L43" s="711">
        <v>5000</v>
      </c>
      <c r="M43" s="56"/>
      <c r="N43" s="711">
        <f t="shared" si="0"/>
        <v>5000</v>
      </c>
      <c r="O43" s="332" t="s">
        <v>905</v>
      </c>
      <c r="P43" s="711">
        <f t="shared" si="4"/>
        <v>5000</v>
      </c>
      <c r="Q43" s="293">
        <v>70000</v>
      </c>
      <c r="R43" s="293"/>
      <c r="S43" s="293">
        <v>70000</v>
      </c>
      <c r="T43" s="66">
        <f t="shared" si="16"/>
        <v>70000</v>
      </c>
      <c r="U43" s="66">
        <f t="shared" si="17"/>
        <v>140000</v>
      </c>
      <c r="V43" s="66">
        <f t="shared" si="2"/>
        <v>145000</v>
      </c>
      <c r="W43" s="62">
        <f t="shared" si="18"/>
        <v>145666.66666666666</v>
      </c>
      <c r="X43" s="66"/>
      <c r="Y43" s="293" t="s">
        <v>906</v>
      </c>
      <c r="Z43" s="440">
        <v>140000</v>
      </c>
      <c r="AA43" s="68">
        <v>185000</v>
      </c>
    </row>
    <row r="44" spans="1:27">
      <c r="A44" s="626">
        <f t="shared" si="7"/>
        <v>553</v>
      </c>
      <c r="B44" s="298" t="s">
        <v>907</v>
      </c>
      <c r="D44" s="62">
        <v>45000</v>
      </c>
      <c r="E44" s="276"/>
      <c r="F44" s="276">
        <v>0</v>
      </c>
      <c r="G44" s="276">
        <v>0</v>
      </c>
      <c r="H44" s="277"/>
      <c r="I44" s="276">
        <v>45000</v>
      </c>
      <c r="J44" s="276">
        <v>0</v>
      </c>
      <c r="K44" s="62">
        <f t="shared" si="19"/>
        <v>0</v>
      </c>
      <c r="L44" s="711">
        <v>45000</v>
      </c>
      <c r="M44" s="711"/>
      <c r="N44" s="711">
        <f t="shared" si="0"/>
        <v>45000</v>
      </c>
      <c r="O44" s="332"/>
      <c r="P44" s="711">
        <f t="shared" si="4"/>
        <v>45000</v>
      </c>
      <c r="Q44" s="293"/>
      <c r="R44" s="293">
        <v>54000</v>
      </c>
      <c r="S44" s="293"/>
      <c r="T44" s="66">
        <f t="shared" si="16"/>
        <v>54000</v>
      </c>
      <c r="U44" s="66">
        <f t="shared" si="17"/>
        <v>54000</v>
      </c>
      <c r="V44" s="66">
        <f t="shared" si="2"/>
        <v>99000</v>
      </c>
      <c r="W44" s="62">
        <f t="shared" si="18"/>
        <v>0</v>
      </c>
      <c r="X44" s="66"/>
      <c r="Y44" s="293"/>
      <c r="Z44" s="440">
        <v>54000</v>
      </c>
      <c r="AA44" s="68">
        <v>45000</v>
      </c>
    </row>
    <row r="45" spans="1:27" ht="30.4" customHeight="1">
      <c r="A45" s="626" t="s">
        <v>908</v>
      </c>
      <c r="B45" s="298" t="s">
        <v>909</v>
      </c>
      <c r="D45" s="62">
        <v>21000</v>
      </c>
      <c r="E45" s="276">
        <v>7000</v>
      </c>
      <c r="F45" s="276">
        <v>6500</v>
      </c>
      <c r="G45" s="276">
        <v>6500</v>
      </c>
      <c r="H45" s="277"/>
      <c r="I45" s="276">
        <v>1500</v>
      </c>
      <c r="J45" s="276">
        <v>6000</v>
      </c>
      <c r="K45" s="62">
        <f t="shared" si="19"/>
        <v>6000</v>
      </c>
      <c r="L45" s="711">
        <v>1500</v>
      </c>
      <c r="M45" s="711">
        <v>7000</v>
      </c>
      <c r="N45" s="711">
        <f t="shared" si="0"/>
        <v>8500</v>
      </c>
      <c r="O45" s="332" t="s">
        <v>910</v>
      </c>
      <c r="P45" s="711">
        <f t="shared" si="4"/>
        <v>8500</v>
      </c>
      <c r="Q45" s="293">
        <v>7000</v>
      </c>
      <c r="R45" s="293"/>
      <c r="S45" s="293">
        <v>7000</v>
      </c>
      <c r="T45" s="66">
        <f t="shared" si="16"/>
        <v>7000</v>
      </c>
      <c r="U45" s="66">
        <f t="shared" si="17"/>
        <v>14000</v>
      </c>
      <c r="V45" s="66">
        <f t="shared" si="2"/>
        <v>22500</v>
      </c>
      <c r="W45" s="62">
        <f t="shared" si="18"/>
        <v>19500</v>
      </c>
      <c r="X45" s="66"/>
      <c r="Y45" s="293" t="s">
        <v>911</v>
      </c>
      <c r="Z45" s="440">
        <v>14000</v>
      </c>
      <c r="AA45" s="68">
        <v>21000</v>
      </c>
    </row>
    <row r="46" spans="1:27">
      <c r="A46" s="626" t="s">
        <v>912</v>
      </c>
      <c r="B46" s="298" t="s">
        <v>913</v>
      </c>
      <c r="D46" s="62"/>
      <c r="E46" s="276"/>
      <c r="F46" s="276"/>
      <c r="G46" s="276"/>
      <c r="H46" s="277"/>
      <c r="I46" s="276"/>
      <c r="J46" s="276"/>
      <c r="K46" s="62"/>
      <c r="L46" s="711"/>
      <c r="M46" s="711"/>
      <c r="N46" s="711">
        <f t="shared" si="0"/>
        <v>0</v>
      </c>
      <c r="O46" s="332"/>
      <c r="P46" s="711">
        <f t="shared" si="4"/>
        <v>0</v>
      </c>
      <c r="Q46" s="293"/>
      <c r="R46" s="293"/>
      <c r="S46" s="293"/>
      <c r="T46" s="66">
        <f t="shared" si="16"/>
        <v>0</v>
      </c>
      <c r="U46" s="66">
        <f t="shared" si="17"/>
        <v>0</v>
      </c>
      <c r="V46" s="66">
        <f t="shared" si="2"/>
        <v>0</v>
      </c>
      <c r="W46" s="62">
        <f t="shared" si="18"/>
        <v>0</v>
      </c>
      <c r="X46" s="66"/>
      <c r="Y46" s="293"/>
      <c r="Z46" s="440">
        <v>0</v>
      </c>
      <c r="AA46" s="68"/>
    </row>
    <row r="47" spans="1:27" ht="33.4" customHeight="1">
      <c r="A47" s="626">
        <v>555</v>
      </c>
      <c r="B47" s="298" t="s">
        <v>914</v>
      </c>
      <c r="D47" s="62">
        <v>6600</v>
      </c>
      <c r="E47" s="276">
        <v>2200</v>
      </c>
      <c r="F47" s="276">
        <v>4600</v>
      </c>
      <c r="G47" s="276">
        <v>4600</v>
      </c>
      <c r="H47" s="277" t="s">
        <v>915</v>
      </c>
      <c r="I47" s="276">
        <v>3600</v>
      </c>
      <c r="J47" s="276">
        <v>1000</v>
      </c>
      <c r="K47" s="62">
        <f t="shared" si="19"/>
        <v>1000</v>
      </c>
      <c r="L47" s="711">
        <v>3600</v>
      </c>
      <c r="M47" s="711">
        <v>1000</v>
      </c>
      <c r="N47" s="711">
        <f t="shared" si="0"/>
        <v>4600</v>
      </c>
      <c r="O47" s="332" t="s">
        <v>916</v>
      </c>
      <c r="P47" s="711">
        <f t="shared" si="4"/>
        <v>4600</v>
      </c>
      <c r="Q47" s="293">
        <v>5000</v>
      </c>
      <c r="R47" s="293"/>
      <c r="S47" s="293">
        <v>1000</v>
      </c>
      <c r="T47" s="66">
        <f t="shared" si="16"/>
        <v>1000</v>
      </c>
      <c r="U47" s="66">
        <f t="shared" si="17"/>
        <v>6000</v>
      </c>
      <c r="V47" s="66">
        <f t="shared" si="2"/>
        <v>10600</v>
      </c>
      <c r="W47" s="62">
        <f t="shared" si="18"/>
        <v>7800</v>
      </c>
      <c r="X47" s="66"/>
      <c r="Y47" s="295" t="s">
        <v>916</v>
      </c>
      <c r="Z47" s="440">
        <v>6000</v>
      </c>
      <c r="AA47" s="68">
        <v>6600</v>
      </c>
    </row>
    <row r="48" spans="1:27" ht="28.5" customHeight="1">
      <c r="A48" s="626">
        <f t="shared" si="7"/>
        <v>556</v>
      </c>
      <c r="B48" s="298" t="s">
        <v>636</v>
      </c>
      <c r="C48" s="238">
        <v>270395</v>
      </c>
      <c r="D48" s="62">
        <v>15150</v>
      </c>
      <c r="E48" s="62">
        <f>449229-E40-E42-E43-E45-E47-210000</f>
        <v>21862.333333333343</v>
      </c>
      <c r="F48" s="62">
        <v>4550</v>
      </c>
      <c r="G48" s="62">
        <v>4550</v>
      </c>
      <c r="H48" s="63"/>
      <c r="I48" s="62"/>
      <c r="J48" s="62">
        <v>6050</v>
      </c>
      <c r="K48" s="62">
        <f t="shared" si="19"/>
        <v>6050</v>
      </c>
      <c r="L48" s="56"/>
      <c r="M48" s="56">
        <v>5150</v>
      </c>
      <c r="N48" s="56">
        <f t="shared" si="0"/>
        <v>5150</v>
      </c>
      <c r="O48" s="332" t="s">
        <v>917</v>
      </c>
      <c r="P48" s="56">
        <f t="shared" si="4"/>
        <v>5150</v>
      </c>
      <c r="Q48" s="293">
        <v>4000</v>
      </c>
      <c r="R48" s="293"/>
      <c r="S48" s="293">
        <v>4000</v>
      </c>
      <c r="T48" s="66">
        <f t="shared" si="16"/>
        <v>4000</v>
      </c>
      <c r="U48" s="66">
        <f t="shared" si="17"/>
        <v>8000</v>
      </c>
      <c r="V48" s="66">
        <f t="shared" si="2"/>
        <v>13150</v>
      </c>
      <c r="W48" s="62">
        <f t="shared" si="18"/>
        <v>32462.333333333343</v>
      </c>
      <c r="X48" s="66"/>
      <c r="Y48" s="293"/>
      <c r="Z48" s="60">
        <v>8000</v>
      </c>
      <c r="AA48" s="68">
        <v>15150</v>
      </c>
    </row>
    <row r="49" spans="1:155">
      <c r="A49" s="626" t="s">
        <v>918</v>
      </c>
      <c r="B49" s="298" t="s">
        <v>919</v>
      </c>
      <c r="D49" s="62"/>
      <c r="E49" s="62"/>
      <c r="F49" s="62"/>
      <c r="G49" s="62"/>
      <c r="H49" s="63"/>
      <c r="I49" s="62"/>
      <c r="J49" s="62"/>
      <c r="K49" s="62">
        <f>I52</f>
        <v>55933</v>
      </c>
      <c r="L49" s="56"/>
      <c r="M49" s="56"/>
      <c r="N49" s="56">
        <f t="shared" si="0"/>
        <v>0</v>
      </c>
      <c r="O49" s="332"/>
      <c r="P49" s="56">
        <f t="shared" si="4"/>
        <v>0</v>
      </c>
      <c r="Q49" s="293"/>
      <c r="R49" s="293"/>
      <c r="S49" s="293"/>
      <c r="T49" s="66">
        <f t="shared" si="16"/>
        <v>0</v>
      </c>
      <c r="U49" s="66">
        <f t="shared" si="17"/>
        <v>0</v>
      </c>
      <c r="V49" s="66">
        <f t="shared" si="2"/>
        <v>0</v>
      </c>
      <c r="W49" s="62">
        <f t="shared" si="18"/>
        <v>55933</v>
      </c>
      <c r="X49" s="66"/>
      <c r="Y49" s="293"/>
      <c r="Z49" s="60">
        <v>0</v>
      </c>
      <c r="AA49" s="68"/>
    </row>
    <row r="50" spans="1:155" ht="27.75" customHeight="1">
      <c r="A50" s="626" t="s">
        <v>920</v>
      </c>
      <c r="B50" s="298" t="s">
        <v>921</v>
      </c>
      <c r="D50" s="62"/>
      <c r="E50" s="62"/>
      <c r="F50" s="62"/>
      <c r="G50" s="62"/>
      <c r="H50" s="63"/>
      <c r="I50" s="62"/>
      <c r="J50" s="62"/>
      <c r="K50" s="62"/>
      <c r="L50" s="56"/>
      <c r="M50" s="56">
        <v>30000</v>
      </c>
      <c r="N50" s="56">
        <f t="shared" si="0"/>
        <v>30000</v>
      </c>
      <c r="O50" s="332" t="s">
        <v>922</v>
      </c>
      <c r="P50" s="56">
        <f t="shared" si="4"/>
        <v>30000</v>
      </c>
      <c r="Q50" s="293"/>
      <c r="R50" s="293"/>
      <c r="S50" s="293"/>
      <c r="T50" s="66">
        <f t="shared" si="16"/>
        <v>0</v>
      </c>
      <c r="U50" s="66">
        <f t="shared" si="17"/>
        <v>0</v>
      </c>
      <c r="V50" s="66">
        <f t="shared" si="2"/>
        <v>30000</v>
      </c>
      <c r="W50" s="62">
        <f t="shared" si="18"/>
        <v>0</v>
      </c>
      <c r="X50" s="66"/>
      <c r="Y50" s="293"/>
      <c r="Z50" s="60">
        <v>0</v>
      </c>
      <c r="AA50" s="68"/>
    </row>
    <row r="51" spans="1:155" ht="27.4" customHeight="1">
      <c r="A51" s="626">
        <f>A48+1</f>
        <v>557</v>
      </c>
      <c r="B51" s="298" t="s">
        <v>923</v>
      </c>
      <c r="C51" s="238">
        <f>'[4]Salary Summary GC Adopted'!Y24</f>
        <v>303480.98336331022</v>
      </c>
      <c r="D51" s="62">
        <v>982565.44038724503</v>
      </c>
      <c r="E51" s="298">
        <f>114864+210000</f>
        <v>324864</v>
      </c>
      <c r="F51" s="298">
        <f>'[3]Salary Summary 19 for 2019-2021'!L26+216666</f>
        <v>336113.64387827</v>
      </c>
      <c r="G51" s="298">
        <v>336113.64387827</v>
      </c>
      <c r="H51" s="437"/>
      <c r="I51" s="298"/>
      <c r="J51" s="298">
        <f>'[3]Salary Summary 20 for 2019-2021'!P26</f>
        <v>339160.03291729913</v>
      </c>
      <c r="K51" s="298">
        <f>J51</f>
        <v>339160.03291729913</v>
      </c>
      <c r="L51" s="356"/>
      <c r="M51" s="356">
        <f>'Salary Summary 21 for 2022-2024'!M27</f>
        <v>466988.60264513327</v>
      </c>
      <c r="N51" s="356">
        <f t="shared" si="0"/>
        <v>466988.60264513327</v>
      </c>
      <c r="O51" s="332" t="s">
        <v>924</v>
      </c>
      <c r="P51" s="356">
        <f t="shared" si="4"/>
        <v>466988.60264513327</v>
      </c>
      <c r="Q51" s="293">
        <f>'Salary Summary 21 for 2022-2024'!Q27</f>
        <v>650562.74517713999</v>
      </c>
      <c r="R51" s="293"/>
      <c r="S51" s="293">
        <f>'Salary Summary 21 for 2022-2024'!U27</f>
        <v>674449.09878797538</v>
      </c>
      <c r="T51" s="66">
        <f t="shared" si="16"/>
        <v>674449.09878797538</v>
      </c>
      <c r="U51" s="66">
        <f t="shared" si="17"/>
        <v>1325011.8439651155</v>
      </c>
      <c r="V51" s="66">
        <f t="shared" si="2"/>
        <v>1792000.4466102486</v>
      </c>
      <c r="W51" s="62">
        <f t="shared" si="18"/>
        <v>1000137.676795569</v>
      </c>
      <c r="X51" s="66"/>
      <c r="Y51" s="295" t="s">
        <v>925</v>
      </c>
      <c r="Z51" s="608">
        <v>1325011.8439651155</v>
      </c>
      <c r="AA51" s="68">
        <v>1051008.2734058383</v>
      </c>
    </row>
    <row r="52" spans="1:155" s="525" customFormat="1">
      <c r="A52" s="710">
        <f t="shared" si="7"/>
        <v>558</v>
      </c>
      <c r="B52" s="525" t="s">
        <v>926</v>
      </c>
      <c r="C52" s="92">
        <f t="shared" ref="C52:F52" si="20">SUM(C38:C51)</f>
        <v>920775.98336331022</v>
      </c>
      <c r="D52" s="92">
        <f t="shared" si="20"/>
        <v>1796815.440387245</v>
      </c>
      <c r="E52" s="92">
        <f t="shared" si="20"/>
        <v>588218</v>
      </c>
      <c r="F52" s="92">
        <f t="shared" si="20"/>
        <v>576360.64387826994</v>
      </c>
      <c r="G52" s="92">
        <f>SUM(G38:G51)</f>
        <v>590010.64387826994</v>
      </c>
      <c r="H52" s="142"/>
      <c r="I52" s="92">
        <f>SUM(I38:I51)</f>
        <v>55933</v>
      </c>
      <c r="J52" s="92">
        <f t="shared" ref="J52:K52" si="21">SUM(J38:J51)</f>
        <v>633619.03291729908</v>
      </c>
      <c r="K52" s="92">
        <f t="shared" si="21"/>
        <v>689552.03291729908</v>
      </c>
      <c r="L52" s="93">
        <f>SUM(L38:L51)</f>
        <v>55933</v>
      </c>
      <c r="M52" s="93">
        <f t="shared" ref="M52:N52" si="22">SUM(M38:M51)</f>
        <v>809029.44931179995</v>
      </c>
      <c r="N52" s="93">
        <f t="shared" si="22"/>
        <v>864962.44931179995</v>
      </c>
      <c r="O52" s="518"/>
      <c r="P52" s="93">
        <f t="shared" si="4"/>
        <v>864962.44931179995</v>
      </c>
      <c r="Q52" s="95">
        <f t="shared" ref="Q52:Y52" si="23">SUM(Q38:Q51)</f>
        <v>864062.74517713999</v>
      </c>
      <c r="R52" s="95">
        <f t="shared" si="23"/>
        <v>54000</v>
      </c>
      <c r="S52" s="95">
        <f t="shared" si="23"/>
        <v>904039.09878797538</v>
      </c>
      <c r="T52" s="95">
        <f t="shared" si="23"/>
        <v>958039.09878797538</v>
      </c>
      <c r="U52" s="95">
        <f t="shared" si="23"/>
        <v>1822101.8439651155</v>
      </c>
      <c r="V52" s="95">
        <f t="shared" si="23"/>
        <v>2687064.2932769153</v>
      </c>
      <c r="W52" s="92">
        <f>SUM(W38:W51)</f>
        <v>1867780.676795569</v>
      </c>
      <c r="X52" s="95"/>
      <c r="Y52" s="95">
        <f t="shared" si="23"/>
        <v>0</v>
      </c>
      <c r="Z52" s="98">
        <v>1839101.8439651155</v>
      </c>
      <c r="AA52" s="99">
        <v>1769258.2734058383</v>
      </c>
      <c r="AB52" s="310"/>
      <c r="AC52" s="310"/>
      <c r="AD52" s="310"/>
      <c r="AE52" s="310"/>
      <c r="AF52" s="310"/>
      <c r="AG52" s="310"/>
      <c r="AH52" s="310"/>
      <c r="AI52" s="310"/>
      <c r="AJ52" s="310"/>
      <c r="AK52" s="310"/>
      <c r="AL52" s="310"/>
      <c r="AM52" s="310"/>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0"/>
      <c r="BN52" s="310"/>
      <c r="BO52" s="310"/>
      <c r="BP52" s="310"/>
      <c r="BQ52" s="310"/>
      <c r="BR52" s="310"/>
      <c r="BS52" s="310"/>
      <c r="BT52" s="310"/>
      <c r="BU52" s="310"/>
      <c r="BV52" s="310"/>
      <c r="BW52" s="310"/>
      <c r="BX52" s="310"/>
      <c r="BY52" s="310"/>
      <c r="BZ52" s="310"/>
      <c r="CA52" s="310"/>
      <c r="CB52" s="310"/>
      <c r="CC52" s="310"/>
      <c r="CD52" s="310"/>
      <c r="CE52" s="310"/>
      <c r="CF52" s="310"/>
      <c r="CG52" s="310"/>
      <c r="CH52" s="310"/>
      <c r="CI52" s="310"/>
      <c r="CJ52" s="310"/>
      <c r="CK52" s="310"/>
      <c r="CL52" s="310"/>
      <c r="CM52" s="310"/>
      <c r="CN52" s="310"/>
      <c r="CO52" s="310"/>
      <c r="CP52" s="310"/>
      <c r="CQ52" s="310"/>
      <c r="CR52" s="310"/>
      <c r="CS52" s="310"/>
      <c r="CT52" s="310"/>
      <c r="CU52" s="310"/>
      <c r="CV52" s="310"/>
      <c r="CW52" s="310"/>
      <c r="CX52" s="310"/>
      <c r="CY52" s="310"/>
      <c r="CZ52" s="310"/>
      <c r="DA52" s="310"/>
      <c r="DB52" s="310"/>
      <c r="DC52" s="310"/>
      <c r="DD52" s="310"/>
      <c r="DE52" s="310"/>
      <c r="DF52" s="310"/>
      <c r="DG52" s="310"/>
      <c r="DH52" s="310"/>
      <c r="DI52" s="310"/>
      <c r="DJ52" s="310"/>
      <c r="DK52" s="310"/>
      <c r="DL52" s="310"/>
      <c r="DM52" s="310"/>
      <c r="DN52" s="310"/>
      <c r="DO52" s="310"/>
      <c r="DP52" s="310"/>
      <c r="DQ52" s="310"/>
      <c r="DR52" s="310"/>
      <c r="DS52" s="310"/>
      <c r="DT52" s="310"/>
      <c r="DU52" s="310"/>
      <c r="DV52" s="310"/>
      <c r="DW52" s="310"/>
      <c r="DX52" s="310"/>
      <c r="DY52" s="310"/>
      <c r="DZ52" s="310"/>
      <c r="EA52" s="310"/>
      <c r="EB52" s="310"/>
      <c r="EC52" s="310"/>
      <c r="ED52" s="310"/>
      <c r="EE52" s="310"/>
      <c r="EF52" s="310"/>
      <c r="EG52" s="310"/>
      <c r="EH52" s="310"/>
      <c r="EI52" s="310"/>
      <c r="EJ52" s="310"/>
      <c r="EK52" s="310"/>
      <c r="EL52" s="310"/>
      <c r="EM52" s="310"/>
      <c r="EN52" s="310"/>
      <c r="EO52" s="310"/>
      <c r="EP52" s="310"/>
      <c r="EQ52" s="310"/>
      <c r="ER52" s="310"/>
      <c r="ES52" s="310"/>
      <c r="ET52" s="310"/>
      <c r="EU52" s="310"/>
      <c r="EV52" s="310"/>
      <c r="EW52" s="310"/>
      <c r="EX52" s="310"/>
      <c r="EY52" s="310"/>
    </row>
    <row r="53" spans="1:155">
      <c r="A53" s="626">
        <f t="shared" si="7"/>
        <v>559</v>
      </c>
      <c r="D53" s="238">
        <v>0</v>
      </c>
      <c r="F53" s="62"/>
      <c r="G53" s="62"/>
      <c r="H53" s="63"/>
      <c r="L53" s="239"/>
      <c r="M53" s="239"/>
      <c r="N53" s="239">
        <f t="shared" si="0"/>
        <v>0</v>
      </c>
      <c r="O53" s="312"/>
      <c r="P53" s="239">
        <f t="shared" si="4"/>
        <v>0</v>
      </c>
      <c r="Q53" s="293"/>
      <c r="R53" s="293"/>
      <c r="S53" s="293"/>
      <c r="T53" s="293"/>
      <c r="U53" s="293"/>
      <c r="V53" s="293"/>
      <c r="W53" s="238">
        <f t="shared" ref="W53:W58" si="24">E53+G53+K53</f>
        <v>0</v>
      </c>
      <c r="X53" s="293"/>
      <c r="Y53" s="293"/>
      <c r="AA53" s="335"/>
    </row>
    <row r="54" spans="1:155">
      <c r="A54" s="626">
        <f t="shared" si="7"/>
        <v>560</v>
      </c>
      <c r="B54" s="310" t="s">
        <v>927</v>
      </c>
      <c r="D54" s="238">
        <v>0</v>
      </c>
      <c r="F54" s="62"/>
      <c r="G54" s="62"/>
      <c r="H54" s="63"/>
      <c r="L54" s="239"/>
      <c r="M54" s="239"/>
      <c r="N54" s="239">
        <f t="shared" si="0"/>
        <v>0</v>
      </c>
      <c r="O54" s="332"/>
      <c r="P54" s="239">
        <f t="shared" si="4"/>
        <v>0</v>
      </c>
      <c r="Q54" s="293"/>
      <c r="R54" s="293"/>
      <c r="S54" s="293"/>
      <c r="T54" s="293"/>
      <c r="U54" s="293"/>
      <c r="V54" s="293"/>
      <c r="W54" s="238">
        <f t="shared" si="24"/>
        <v>0</v>
      </c>
      <c r="X54" s="293"/>
      <c r="Y54" s="293"/>
      <c r="AA54" s="335"/>
    </row>
    <row r="55" spans="1:155" ht="31.25" customHeight="1">
      <c r="A55" s="626">
        <f t="shared" si="7"/>
        <v>561</v>
      </c>
      <c r="B55" s="298" t="s">
        <v>928</v>
      </c>
      <c r="C55" s="238">
        <v>375000</v>
      </c>
      <c r="D55" s="62">
        <v>375000</v>
      </c>
      <c r="E55" s="62"/>
      <c r="F55" s="62">
        <v>125000</v>
      </c>
      <c r="G55" s="62">
        <v>125000</v>
      </c>
      <c r="H55" s="63"/>
      <c r="I55" s="62"/>
      <c r="J55" s="62">
        <v>125000</v>
      </c>
      <c r="K55" s="62">
        <f>J55</f>
        <v>125000</v>
      </c>
      <c r="L55" s="56"/>
      <c r="M55" s="56">
        <v>254823</v>
      </c>
      <c r="N55" s="56">
        <f t="shared" si="0"/>
        <v>254823</v>
      </c>
      <c r="O55" s="332" t="s">
        <v>929</v>
      </c>
      <c r="P55" s="56">
        <f t="shared" si="4"/>
        <v>254823</v>
      </c>
      <c r="Q55" s="66">
        <v>257371</v>
      </c>
      <c r="R55" s="293"/>
      <c r="S55" s="66">
        <v>259945</v>
      </c>
      <c r="T55" s="66">
        <f t="shared" ref="T55:T60" si="25">R55+S55</f>
        <v>259945</v>
      </c>
      <c r="U55" s="66">
        <f t="shared" ref="U55:U60" si="26">Q55+T55</f>
        <v>517316</v>
      </c>
      <c r="V55" s="66">
        <f>U55+P55</f>
        <v>772139</v>
      </c>
      <c r="W55" s="62">
        <f t="shared" si="24"/>
        <v>250000</v>
      </c>
      <c r="X55" s="66"/>
      <c r="Y55" s="293"/>
      <c r="Z55" s="60">
        <v>517316</v>
      </c>
      <c r="AA55" s="68">
        <v>375000</v>
      </c>
    </row>
    <row r="56" spans="1:155" ht="36" customHeight="1">
      <c r="A56" s="626">
        <f t="shared" si="7"/>
        <v>562</v>
      </c>
      <c r="B56" s="298" t="s">
        <v>930</v>
      </c>
      <c r="C56" s="238">
        <v>210000</v>
      </c>
      <c r="D56" s="62">
        <v>210000</v>
      </c>
      <c r="E56" s="62"/>
      <c r="F56" s="62">
        <v>70000</v>
      </c>
      <c r="G56" s="62">
        <v>70000</v>
      </c>
      <c r="H56" s="63"/>
      <c r="I56" s="62"/>
      <c r="J56" s="62">
        <v>70000</v>
      </c>
      <c r="K56" s="62">
        <f t="shared" ref="K56:K60" si="27">J56</f>
        <v>70000</v>
      </c>
      <c r="L56" s="56"/>
      <c r="M56" s="56">
        <f>31000+237000+10000</f>
        <v>278000</v>
      </c>
      <c r="N56" s="56">
        <f t="shared" si="0"/>
        <v>278000</v>
      </c>
      <c r="O56" s="332" t="s">
        <v>931</v>
      </c>
      <c r="P56" s="56">
        <f t="shared" si="4"/>
        <v>278000</v>
      </c>
      <c r="Q56" s="66">
        <f>31000+248000</f>
        <v>279000</v>
      </c>
      <c r="R56" s="293"/>
      <c r="S56" s="66">
        <v>284000</v>
      </c>
      <c r="T56" s="66">
        <f t="shared" si="25"/>
        <v>284000</v>
      </c>
      <c r="U56" s="66">
        <f t="shared" si="26"/>
        <v>563000</v>
      </c>
      <c r="V56" s="66">
        <f>U56+P56</f>
        <v>841000</v>
      </c>
      <c r="W56" s="62">
        <f t="shared" si="24"/>
        <v>140000</v>
      </c>
      <c r="X56" s="66"/>
      <c r="Y56" s="295" t="s">
        <v>932</v>
      </c>
      <c r="Z56" s="60">
        <v>563000</v>
      </c>
      <c r="AA56" s="68">
        <v>210000</v>
      </c>
    </row>
    <row r="57" spans="1:155" ht="23.25" customHeight="1">
      <c r="A57" s="626">
        <f>A56+1</f>
        <v>563</v>
      </c>
      <c r="B57" s="298" t="s">
        <v>933</v>
      </c>
      <c r="C57" s="238">
        <v>308811</v>
      </c>
      <c r="D57" s="62">
        <v>528811</v>
      </c>
      <c r="E57" s="62">
        <v>295167</v>
      </c>
      <c r="F57" s="62">
        <v>176270.33333333334</v>
      </c>
      <c r="G57" s="62">
        <v>101270</v>
      </c>
      <c r="H57" s="63" t="s">
        <v>934</v>
      </c>
      <c r="I57" s="62">
        <v>11000</v>
      </c>
      <c r="J57" s="62">
        <v>165270</v>
      </c>
      <c r="K57" s="62">
        <f t="shared" si="27"/>
        <v>165270</v>
      </c>
      <c r="L57" s="56">
        <v>11000</v>
      </c>
      <c r="M57" s="56">
        <v>102937</v>
      </c>
      <c r="N57" s="56">
        <f t="shared" si="0"/>
        <v>113937</v>
      </c>
      <c r="O57" s="332" t="s">
        <v>935</v>
      </c>
      <c r="P57" s="56">
        <f t="shared" si="4"/>
        <v>113937</v>
      </c>
      <c r="Q57" s="66">
        <v>102937</v>
      </c>
      <c r="R57" s="293">
        <v>11000</v>
      </c>
      <c r="S57" s="66">
        <v>102937</v>
      </c>
      <c r="T57" s="66">
        <f t="shared" si="25"/>
        <v>113937</v>
      </c>
      <c r="U57" s="66">
        <f t="shared" si="26"/>
        <v>216874</v>
      </c>
      <c r="V57" s="66">
        <f>U57+P57</f>
        <v>330811</v>
      </c>
      <c r="W57" s="62">
        <f t="shared" si="24"/>
        <v>561707</v>
      </c>
      <c r="X57" s="66"/>
      <c r="Y57" s="293"/>
      <c r="Z57" s="60">
        <v>216874</v>
      </c>
      <c r="AA57" s="68">
        <v>528811</v>
      </c>
    </row>
    <row r="58" spans="1:155">
      <c r="A58" s="626" t="s">
        <v>936</v>
      </c>
      <c r="B58" s="298" t="s">
        <v>188</v>
      </c>
      <c r="D58" s="62"/>
      <c r="E58" s="62"/>
      <c r="F58" s="62"/>
      <c r="G58" s="62"/>
      <c r="H58" s="63"/>
      <c r="I58" s="62"/>
      <c r="J58" s="62"/>
      <c r="K58" s="62">
        <f>I61</f>
        <v>11000</v>
      </c>
      <c r="L58" s="56"/>
      <c r="M58" s="56"/>
      <c r="N58" s="56">
        <f t="shared" si="0"/>
        <v>0</v>
      </c>
      <c r="O58" s="332"/>
      <c r="P58" s="56">
        <f t="shared" si="4"/>
        <v>0</v>
      </c>
      <c r="Q58" s="293"/>
      <c r="R58" s="293"/>
      <c r="S58" s="293"/>
      <c r="T58" s="66">
        <f t="shared" si="25"/>
        <v>0</v>
      </c>
      <c r="U58" s="66">
        <f t="shared" si="26"/>
        <v>0</v>
      </c>
      <c r="V58" s="66">
        <f>U58+P58</f>
        <v>0</v>
      </c>
      <c r="W58" s="62">
        <f t="shared" si="24"/>
        <v>11000</v>
      </c>
      <c r="X58" s="66"/>
      <c r="Y58" s="293"/>
      <c r="Z58" s="60">
        <v>0</v>
      </c>
      <c r="AA58" s="68"/>
    </row>
    <row r="59" spans="1:155">
      <c r="A59" s="626" t="s">
        <v>937</v>
      </c>
      <c r="B59" s="298" t="s">
        <v>938</v>
      </c>
      <c r="D59" s="62"/>
      <c r="E59" s="62"/>
      <c r="F59" s="62"/>
      <c r="G59" s="62"/>
      <c r="H59" s="63"/>
      <c r="I59" s="62"/>
      <c r="J59" s="62"/>
      <c r="K59" s="62"/>
      <c r="L59" s="56"/>
      <c r="M59" s="56"/>
      <c r="N59" s="56"/>
      <c r="O59" s="332"/>
      <c r="P59" s="56"/>
      <c r="Q59" s="293">
        <v>-65000</v>
      </c>
      <c r="R59" s="293"/>
      <c r="S59" s="293">
        <v>-65000</v>
      </c>
      <c r="T59" s="66">
        <f t="shared" si="25"/>
        <v>-65000</v>
      </c>
      <c r="U59" s="66">
        <f t="shared" si="26"/>
        <v>-130000</v>
      </c>
      <c r="V59" s="66"/>
      <c r="W59" s="62"/>
      <c r="X59" s="66"/>
      <c r="Y59" s="293"/>
      <c r="Z59" s="60"/>
      <c r="AA59" s="68"/>
    </row>
    <row r="60" spans="1:155" ht="20.45" customHeight="1">
      <c r="A60" s="626">
        <f>A57+1</f>
        <v>564</v>
      </c>
      <c r="B60" s="298" t="s">
        <v>419</v>
      </c>
      <c r="C60" s="238">
        <f>'[4]Salary Summary GC Adopted'!Y8</f>
        <v>2338995.028037495</v>
      </c>
      <c r="D60" s="62">
        <v>2668533.5683578765</v>
      </c>
      <c r="E60" s="298">
        <v>858925</v>
      </c>
      <c r="F60" s="298">
        <f>'[3]Salary Summary 19 for 2019-2021'!L9</f>
        <v>851495.48326504871</v>
      </c>
      <c r="G60" s="298">
        <v>851495.48326504871</v>
      </c>
      <c r="H60" s="437"/>
      <c r="I60" s="298"/>
      <c r="J60" s="298">
        <f>'[3]Salary Summary 20 for 2019-2021'!P9</f>
        <v>875986.81864505936</v>
      </c>
      <c r="K60" s="62">
        <f t="shared" si="27"/>
        <v>875986.81864505936</v>
      </c>
      <c r="L60" s="356"/>
      <c r="M60" s="356">
        <f>'Salary Summary 21 for 2022-2024'!M10</f>
        <v>905902.44223633094</v>
      </c>
      <c r="N60" s="356">
        <f t="shared" ref="N60:N62" si="28">L60+M60</f>
        <v>905902.44223633094</v>
      </c>
      <c r="O60" s="77"/>
      <c r="P60" s="356">
        <f>N60</f>
        <v>905902.44223633094</v>
      </c>
      <c r="Q60" s="293">
        <f>'Salary Summary 21 for 2022-2024'!Q10</f>
        <v>935800.71228255995</v>
      </c>
      <c r="R60" s="293"/>
      <c r="S60" s="293">
        <f>'Salary Summary 21 for 2022-2024'!U10</f>
        <v>965951.43357409746</v>
      </c>
      <c r="T60" s="66">
        <f t="shared" si="25"/>
        <v>965951.43357409746</v>
      </c>
      <c r="U60" s="66">
        <f t="shared" si="26"/>
        <v>1901752.1458566575</v>
      </c>
      <c r="V60" s="66">
        <f t="shared" ref="V60:V123" si="29">U60+P60</f>
        <v>2807654.5880929884</v>
      </c>
      <c r="W60" s="298">
        <f>E60+G60+K60</f>
        <v>2586407.301910108</v>
      </c>
      <c r="X60" s="66"/>
      <c r="Y60" s="137"/>
      <c r="Z60" s="608">
        <v>1901752.1458566575</v>
      </c>
      <c r="AA60" s="68">
        <v>2576341.5173795652</v>
      </c>
    </row>
    <row r="61" spans="1:155" s="525" customFormat="1">
      <c r="A61" s="710">
        <f t="shared" si="7"/>
        <v>565</v>
      </c>
      <c r="B61" s="525" t="s">
        <v>939</v>
      </c>
      <c r="C61" s="510">
        <f>SUM(C55:C60)</f>
        <v>3232806.028037495</v>
      </c>
      <c r="D61" s="510">
        <f t="shared" ref="D61:I61" si="30">SUM(D55:D60)</f>
        <v>3782344.5683578765</v>
      </c>
      <c r="E61" s="510">
        <f t="shared" si="30"/>
        <v>1154092</v>
      </c>
      <c r="F61" s="510">
        <f t="shared" si="30"/>
        <v>1222765.8165983821</v>
      </c>
      <c r="G61" s="510">
        <f t="shared" si="30"/>
        <v>1147765.4832650488</v>
      </c>
      <c r="H61" s="510">
        <f t="shared" si="30"/>
        <v>0</v>
      </c>
      <c r="I61" s="510">
        <f t="shared" si="30"/>
        <v>11000</v>
      </c>
      <c r="J61" s="510">
        <f>SUM(J55:J60)</f>
        <v>1236256.8186450594</v>
      </c>
      <c r="K61" s="510">
        <f>SUM(K55:K60)</f>
        <v>1247256.8186450594</v>
      </c>
      <c r="L61" s="511">
        <f t="shared" ref="L61:N61" si="31">SUM(L55:L60)</f>
        <v>11000</v>
      </c>
      <c r="M61" s="511">
        <f t="shared" si="31"/>
        <v>1541662.4422363308</v>
      </c>
      <c r="N61" s="511">
        <f t="shared" si="31"/>
        <v>1552662.4422363308</v>
      </c>
      <c r="O61" s="512"/>
      <c r="P61" s="511">
        <f>N61</f>
        <v>1552662.4422363308</v>
      </c>
      <c r="Q61" s="545">
        <f t="shared" ref="Q61:Y61" si="32">SUM(Q55:Q60)</f>
        <v>1510108.7122825598</v>
      </c>
      <c r="R61" s="545">
        <f t="shared" si="32"/>
        <v>11000</v>
      </c>
      <c r="S61" s="545">
        <f t="shared" si="32"/>
        <v>1547833.4335740975</v>
      </c>
      <c r="T61" s="545">
        <f t="shared" si="32"/>
        <v>1558833.4335740975</v>
      </c>
      <c r="U61" s="545">
        <f t="shared" si="32"/>
        <v>3068942.1458566575</v>
      </c>
      <c r="V61" s="545">
        <f t="shared" si="32"/>
        <v>4751604.5880929884</v>
      </c>
      <c r="W61" s="92">
        <f>E61+G61+K61</f>
        <v>3549114.301910108</v>
      </c>
      <c r="X61" s="545"/>
      <c r="Y61" s="545">
        <f t="shared" si="32"/>
        <v>0</v>
      </c>
      <c r="Z61" s="515">
        <v>3198942.1458566575</v>
      </c>
      <c r="AA61" s="612">
        <v>3690152.5173795652</v>
      </c>
      <c r="AB61" s="310"/>
      <c r="AC61" s="310"/>
      <c r="AD61" s="310"/>
      <c r="AE61" s="310"/>
      <c r="AF61" s="310"/>
      <c r="AG61" s="310"/>
      <c r="AH61" s="310"/>
      <c r="AI61" s="310"/>
      <c r="AJ61" s="310"/>
      <c r="AK61" s="310"/>
      <c r="AL61" s="310"/>
      <c r="AM61" s="310"/>
      <c r="AN61" s="310"/>
      <c r="AO61" s="310"/>
      <c r="AP61" s="310"/>
      <c r="AQ61" s="310"/>
      <c r="AR61" s="310"/>
      <c r="AS61" s="310"/>
      <c r="AT61" s="310"/>
      <c r="AU61" s="310"/>
      <c r="AV61" s="310"/>
      <c r="AW61" s="310"/>
      <c r="AX61" s="310"/>
      <c r="AY61" s="310"/>
      <c r="AZ61" s="310"/>
      <c r="BA61" s="310"/>
      <c r="BB61" s="310"/>
      <c r="BC61" s="310"/>
      <c r="BD61" s="310"/>
      <c r="BE61" s="310"/>
      <c r="BF61" s="310"/>
      <c r="BG61" s="310"/>
      <c r="BH61" s="310"/>
      <c r="BI61" s="310"/>
      <c r="BJ61" s="310"/>
      <c r="BK61" s="310"/>
      <c r="BL61" s="310"/>
      <c r="BM61" s="310"/>
      <c r="BN61" s="310"/>
      <c r="BO61" s="310"/>
      <c r="BP61" s="310"/>
      <c r="BQ61" s="310"/>
      <c r="BR61" s="310"/>
      <c r="BS61" s="310"/>
      <c r="BT61" s="310"/>
      <c r="BU61" s="310"/>
      <c r="BV61" s="310"/>
      <c r="BW61" s="310"/>
      <c r="BX61" s="310"/>
      <c r="BY61" s="310"/>
      <c r="BZ61" s="310"/>
      <c r="CA61" s="310"/>
      <c r="CB61" s="310"/>
      <c r="CC61" s="310"/>
      <c r="CD61" s="310"/>
      <c r="CE61" s="310"/>
      <c r="CF61" s="310"/>
      <c r="CG61" s="310"/>
      <c r="CH61" s="310"/>
      <c r="CI61" s="310"/>
      <c r="CJ61" s="310"/>
      <c r="CK61" s="310"/>
      <c r="CL61" s="310"/>
      <c r="CM61" s="310"/>
      <c r="CN61" s="310"/>
      <c r="CO61" s="310"/>
      <c r="CP61" s="310"/>
      <c r="CQ61" s="310"/>
      <c r="CR61" s="310"/>
      <c r="CS61" s="310"/>
      <c r="CT61" s="310"/>
      <c r="CU61" s="310"/>
      <c r="CV61" s="310"/>
      <c r="CW61" s="310"/>
      <c r="CX61" s="310"/>
      <c r="CY61" s="310"/>
      <c r="CZ61" s="310"/>
      <c r="DA61" s="310"/>
      <c r="DB61" s="310"/>
      <c r="DC61" s="310"/>
      <c r="DD61" s="310"/>
      <c r="DE61" s="310"/>
      <c r="DF61" s="310"/>
      <c r="DG61" s="310"/>
      <c r="DH61" s="310"/>
      <c r="DI61" s="310"/>
      <c r="DJ61" s="310"/>
      <c r="DK61" s="310"/>
      <c r="DL61" s="310"/>
      <c r="DM61" s="310"/>
      <c r="DN61" s="310"/>
      <c r="DO61" s="310"/>
      <c r="DP61" s="310"/>
      <c r="DQ61" s="310"/>
      <c r="DR61" s="310"/>
      <c r="DS61" s="310"/>
      <c r="DT61" s="310"/>
      <c r="DU61" s="310"/>
      <c r="DV61" s="310"/>
      <c r="DW61" s="310"/>
      <c r="DX61" s="310"/>
      <c r="DY61" s="310"/>
      <c r="DZ61" s="310"/>
      <c r="EA61" s="310"/>
      <c r="EB61" s="310"/>
      <c r="EC61" s="310"/>
      <c r="ED61" s="310"/>
      <c r="EE61" s="310"/>
      <c r="EF61" s="310"/>
      <c r="EG61" s="310"/>
      <c r="EH61" s="310"/>
      <c r="EI61" s="310"/>
      <c r="EJ61" s="310"/>
      <c r="EK61" s="310"/>
      <c r="EL61" s="310"/>
      <c r="EM61" s="310"/>
      <c r="EN61" s="310"/>
      <c r="EO61" s="310"/>
      <c r="EP61" s="310"/>
      <c r="EQ61" s="310"/>
      <c r="ER61" s="310"/>
      <c r="ES61" s="310"/>
      <c r="ET61" s="310"/>
      <c r="EU61" s="310"/>
      <c r="EV61" s="310"/>
      <c r="EW61" s="310"/>
      <c r="EX61" s="310"/>
      <c r="EY61" s="310"/>
    </row>
    <row r="62" spans="1:155">
      <c r="A62" s="626">
        <f t="shared" si="7"/>
        <v>566</v>
      </c>
      <c r="F62" s="62"/>
      <c r="G62" s="62"/>
      <c r="H62" s="63"/>
      <c r="L62" s="239"/>
      <c r="M62" s="239"/>
      <c r="N62" s="239">
        <f t="shared" si="28"/>
        <v>0</v>
      </c>
      <c r="O62" s="312"/>
      <c r="P62" s="239">
        <f>N62</f>
        <v>0</v>
      </c>
      <c r="Q62" s="293"/>
      <c r="R62" s="293"/>
      <c r="S62" s="293"/>
      <c r="T62" s="293"/>
      <c r="U62" s="293"/>
      <c r="V62" s="293">
        <f t="shared" si="29"/>
        <v>0</v>
      </c>
      <c r="X62" s="293"/>
      <c r="Y62" s="293"/>
      <c r="AA62" s="335"/>
    </row>
    <row r="63" spans="1:155" s="426" customFormat="1" ht="14.65" thickBot="1">
      <c r="A63" s="712">
        <f t="shared" si="7"/>
        <v>567</v>
      </c>
      <c r="B63" s="426" t="s">
        <v>940</v>
      </c>
      <c r="C63" s="150">
        <f>+C61+C52+C35+C28</f>
        <v>13848606.371049905</v>
      </c>
      <c r="D63" s="150">
        <f t="shared" ref="D63:F63" si="33">D28+D35+D52+D61</f>
        <v>18775647.944265053</v>
      </c>
      <c r="E63" s="150">
        <f t="shared" si="33"/>
        <v>4796671</v>
      </c>
      <c r="F63" s="150">
        <f t="shared" si="33"/>
        <v>6696896.4126750743</v>
      </c>
      <c r="G63" s="150">
        <f>G28+G35+G52+G61</f>
        <v>6140546.0793417413</v>
      </c>
      <c r="H63" s="151"/>
      <c r="I63" s="150">
        <f t="shared" ref="I63" si="34">I28+I35+I52+I61</f>
        <v>2629933</v>
      </c>
      <c r="J63" s="150">
        <f>J28+J35+J52+J61</f>
        <v>5246034.8268409492</v>
      </c>
      <c r="K63" s="150">
        <f>K28+K35+K52+K61</f>
        <v>7875967.8268409492</v>
      </c>
      <c r="L63" s="152">
        <f t="shared" ref="L63:N63" si="35">L28+L35+L52+L61</f>
        <v>3178433</v>
      </c>
      <c r="M63" s="152">
        <f t="shared" si="35"/>
        <v>6253290.6385645587</v>
      </c>
      <c r="N63" s="152">
        <f t="shared" si="35"/>
        <v>9481723.6385645587</v>
      </c>
      <c r="O63" s="713"/>
      <c r="P63" s="152">
        <f>N63</f>
        <v>9481723.6385645587</v>
      </c>
      <c r="Q63" s="689">
        <f t="shared" ref="Q63:Y63" si="36">Q28+Q35+Q52+Q61</f>
        <v>6626499.8993111765</v>
      </c>
      <c r="R63" s="689">
        <f t="shared" si="36"/>
        <v>2253000</v>
      </c>
      <c r="S63" s="689">
        <f>S28+S35+S52+S61</f>
        <v>6831205.0981189189</v>
      </c>
      <c r="T63" s="689">
        <f t="shared" ref="T63:V63" si="37">T28+T35+T52+T61</f>
        <v>9084205.0981189199</v>
      </c>
      <c r="U63" s="689">
        <f t="shared" si="37"/>
        <v>15710704.997430095</v>
      </c>
      <c r="V63" s="689">
        <f t="shared" si="37"/>
        <v>25322428.635994658</v>
      </c>
      <c r="W63" s="150">
        <f>W28+W35+W52+W61</f>
        <v>18813184.906182691</v>
      </c>
      <c r="X63" s="689"/>
      <c r="Y63" s="689">
        <f t="shared" si="36"/>
        <v>0</v>
      </c>
      <c r="Z63" s="691">
        <v>16227868.042236209</v>
      </c>
      <c r="AA63" s="156">
        <v>19104550.656032063</v>
      </c>
      <c r="AB63" s="310"/>
      <c r="AC63" s="310"/>
      <c r="AD63" s="310"/>
      <c r="AE63" s="310"/>
      <c r="AF63" s="310"/>
      <c r="AG63" s="310"/>
      <c r="AH63" s="310"/>
      <c r="AI63" s="310"/>
      <c r="AJ63" s="310"/>
      <c r="AK63" s="310"/>
      <c r="AL63" s="310"/>
      <c r="AM63" s="310"/>
      <c r="AN63" s="310"/>
      <c r="AO63" s="310"/>
      <c r="AP63" s="310"/>
      <c r="AQ63" s="310"/>
      <c r="AR63" s="310"/>
      <c r="AS63" s="310"/>
      <c r="AT63" s="310"/>
      <c r="AU63" s="310"/>
      <c r="AV63" s="310"/>
      <c r="AW63" s="310"/>
      <c r="AX63" s="310"/>
      <c r="AY63" s="310"/>
      <c r="AZ63" s="310"/>
      <c r="BA63" s="310"/>
      <c r="BB63" s="310"/>
      <c r="BC63" s="310"/>
      <c r="BD63" s="310"/>
      <c r="BE63" s="310"/>
      <c r="BF63" s="310"/>
      <c r="BG63" s="310"/>
      <c r="BH63" s="310"/>
      <c r="BI63" s="310"/>
      <c r="BJ63" s="310"/>
      <c r="BK63" s="310"/>
      <c r="BL63" s="310"/>
      <c r="BM63" s="310"/>
      <c r="BN63" s="310"/>
      <c r="BO63" s="310"/>
      <c r="BP63" s="310"/>
      <c r="BQ63" s="310"/>
      <c r="BR63" s="310"/>
      <c r="BS63" s="310"/>
      <c r="BT63" s="310"/>
      <c r="BU63" s="310"/>
      <c r="BV63" s="310"/>
      <c r="BW63" s="310"/>
      <c r="BX63" s="310"/>
      <c r="BY63" s="310"/>
      <c r="BZ63" s="310"/>
      <c r="CA63" s="310"/>
      <c r="CB63" s="310"/>
      <c r="CC63" s="310"/>
      <c r="CD63" s="310"/>
      <c r="CE63" s="310"/>
      <c r="CF63" s="310"/>
      <c r="CG63" s="310"/>
      <c r="CH63" s="310"/>
      <c r="CI63" s="310"/>
      <c r="CJ63" s="310"/>
      <c r="CK63" s="310"/>
      <c r="CL63" s="310"/>
      <c r="CM63" s="310"/>
      <c r="CN63" s="310"/>
      <c r="CO63" s="310"/>
      <c r="CP63" s="310"/>
      <c r="CQ63" s="310"/>
      <c r="CR63" s="310"/>
      <c r="CS63" s="310"/>
      <c r="CT63" s="310"/>
      <c r="CU63" s="310"/>
      <c r="CV63" s="310"/>
      <c r="CW63" s="310"/>
      <c r="CX63" s="310"/>
      <c r="CY63" s="310"/>
      <c r="CZ63" s="310"/>
      <c r="DA63" s="310"/>
      <c r="DB63" s="310"/>
      <c r="DC63" s="310"/>
      <c r="DD63" s="310"/>
      <c r="DE63" s="310"/>
      <c r="DF63" s="310"/>
      <c r="DG63" s="310"/>
      <c r="DH63" s="310"/>
      <c r="DI63" s="310"/>
      <c r="DJ63" s="310"/>
      <c r="DK63" s="310"/>
      <c r="DL63" s="310"/>
      <c r="DM63" s="310"/>
      <c r="DN63" s="310"/>
      <c r="DO63" s="310"/>
      <c r="DP63" s="310"/>
      <c r="DQ63" s="310"/>
      <c r="DR63" s="310"/>
      <c r="DS63" s="310"/>
      <c r="DT63" s="310"/>
      <c r="DU63" s="310"/>
      <c r="DV63" s="310"/>
      <c r="DW63" s="310"/>
      <c r="DX63" s="310"/>
      <c r="DY63" s="310"/>
      <c r="DZ63" s="310"/>
      <c r="EA63" s="310"/>
      <c r="EB63" s="310"/>
      <c r="EC63" s="310"/>
      <c r="ED63" s="310"/>
      <c r="EE63" s="310"/>
      <c r="EF63" s="310"/>
      <c r="EG63" s="310"/>
      <c r="EH63" s="310"/>
      <c r="EI63" s="310"/>
      <c r="EJ63" s="310"/>
      <c r="EK63" s="310"/>
      <c r="EL63" s="310"/>
      <c r="EM63" s="310"/>
      <c r="EN63" s="310"/>
      <c r="EO63" s="310"/>
      <c r="EP63" s="310"/>
      <c r="EQ63" s="310"/>
      <c r="ER63" s="310"/>
      <c r="ES63" s="310"/>
      <c r="ET63" s="310"/>
      <c r="EU63" s="310"/>
      <c r="EV63" s="310"/>
      <c r="EW63" s="310"/>
      <c r="EX63" s="310"/>
      <c r="EY63" s="310"/>
    </row>
    <row r="64" spans="1:155" s="310" customFormat="1">
      <c r="A64" s="702"/>
      <c r="C64" s="577"/>
      <c r="D64" s="577"/>
      <c r="E64" s="577"/>
      <c r="F64" s="577"/>
      <c r="G64" s="577"/>
      <c r="H64" s="415"/>
      <c r="I64" s="577"/>
      <c r="J64" s="577"/>
      <c r="K64" s="577"/>
      <c r="L64" s="577"/>
      <c r="M64" s="577"/>
      <c r="N64" s="577"/>
      <c r="O64" s="560"/>
      <c r="P64" s="577"/>
      <c r="V64" s="310">
        <f t="shared" si="29"/>
        <v>0</v>
      </c>
      <c r="W64" s="577"/>
      <c r="Z64" s="582"/>
    </row>
    <row r="65" spans="1:26" s="310" customFormat="1">
      <c r="A65" s="702"/>
      <c r="C65" s="577"/>
      <c r="D65" s="577"/>
      <c r="E65" s="577"/>
      <c r="F65" s="577"/>
      <c r="G65" s="577">
        <f>SUBTOTAL(9,G15:G55)</f>
        <v>8758061.1921533849</v>
      </c>
      <c r="H65" s="415"/>
      <c r="I65" s="577"/>
      <c r="J65" s="577"/>
      <c r="K65" s="577"/>
      <c r="L65" s="577"/>
      <c r="M65" s="577"/>
      <c r="N65" s="577"/>
      <c r="O65" s="560"/>
      <c r="P65" s="577"/>
      <c r="V65" s="714">
        <f t="shared" si="29"/>
        <v>0</v>
      </c>
      <c r="W65" s="577"/>
      <c r="Z65" s="582"/>
    </row>
    <row r="66" spans="1:26" s="310" customFormat="1">
      <c r="A66" s="702"/>
      <c r="C66" s="577"/>
      <c r="D66" s="577"/>
      <c r="E66" s="577"/>
      <c r="F66" s="577"/>
      <c r="G66" s="577">
        <v>240000</v>
      </c>
      <c r="H66" s="415"/>
      <c r="I66" s="577"/>
      <c r="J66" s="577"/>
      <c r="K66" s="577"/>
      <c r="L66" s="577"/>
      <c r="M66" s="577"/>
      <c r="N66" s="577"/>
      <c r="O66" s="560"/>
      <c r="P66" s="577"/>
      <c r="V66" s="310">
        <f t="shared" si="29"/>
        <v>0</v>
      </c>
      <c r="W66" s="577"/>
      <c r="Z66" s="582"/>
    </row>
    <row r="67" spans="1:26" s="310" customFormat="1">
      <c r="A67" s="702"/>
      <c r="C67" s="577"/>
      <c r="D67" s="577"/>
      <c r="E67" s="577"/>
      <c r="F67" s="577"/>
      <c r="G67" s="577"/>
      <c r="H67" s="415"/>
      <c r="I67" s="577"/>
      <c r="J67" s="577"/>
      <c r="K67" s="577"/>
      <c r="L67" s="577"/>
      <c r="M67" s="577"/>
      <c r="N67" s="577"/>
      <c r="O67" s="560"/>
      <c r="P67" s="577"/>
      <c r="V67" s="310">
        <f t="shared" si="29"/>
        <v>0</v>
      </c>
      <c r="W67" s="577"/>
      <c r="Z67" s="582"/>
    </row>
    <row r="68" spans="1:26">
      <c r="V68" s="298">
        <f t="shared" si="29"/>
        <v>0</v>
      </c>
    </row>
    <row r="69" spans="1:26">
      <c r="A69" s="715"/>
      <c r="B69" s="421"/>
      <c r="C69" s="421"/>
      <c r="D69" s="421"/>
      <c r="E69" s="421"/>
      <c r="F69" s="421"/>
      <c r="G69" s="421"/>
      <c r="H69" s="548"/>
      <c r="I69" s="421"/>
      <c r="J69" s="421"/>
      <c r="K69" s="421"/>
      <c r="L69" s="421"/>
      <c r="M69" s="421"/>
      <c r="N69" s="421"/>
      <c r="P69" s="421"/>
      <c r="V69" s="298">
        <f t="shared" si="29"/>
        <v>0</v>
      </c>
      <c r="W69" s="421"/>
      <c r="Z69" s="657"/>
    </row>
    <row r="70" spans="1:26" s="503" customFormat="1">
      <c r="A70" s="715"/>
      <c r="B70" s="421"/>
      <c r="C70" s="421"/>
      <c r="D70" s="421"/>
      <c r="E70" s="421"/>
      <c r="F70" s="421"/>
      <c r="G70" s="421"/>
      <c r="H70" s="548"/>
      <c r="I70" s="421"/>
      <c r="J70" s="421"/>
      <c r="K70" s="421"/>
      <c r="L70" s="421"/>
      <c r="M70" s="421"/>
      <c r="N70" s="421"/>
      <c r="O70" s="523"/>
      <c r="P70" s="421"/>
      <c r="V70" s="503">
        <f t="shared" si="29"/>
        <v>0</v>
      </c>
      <c r="W70" s="421"/>
      <c r="Z70" s="657"/>
    </row>
    <row r="71" spans="1:26" s="503" customFormat="1">
      <c r="A71" s="715"/>
      <c r="B71" s="421"/>
      <c r="C71" s="421"/>
      <c r="D71" s="421"/>
      <c r="E71" s="421"/>
      <c r="F71" s="421"/>
      <c r="G71" s="421"/>
      <c r="H71" s="548"/>
      <c r="I71" s="421"/>
      <c r="J71" s="421"/>
      <c r="K71" s="421"/>
      <c r="L71" s="421"/>
      <c r="M71" s="421"/>
      <c r="N71" s="421"/>
      <c r="O71" s="523"/>
      <c r="P71" s="421"/>
      <c r="V71" s="503">
        <f t="shared" si="29"/>
        <v>0</v>
      </c>
      <c r="W71" s="421"/>
      <c r="Z71" s="657"/>
    </row>
    <row r="72" spans="1:26">
      <c r="A72" s="715"/>
      <c r="B72" s="421"/>
      <c r="C72" s="421"/>
      <c r="D72" s="421"/>
      <c r="E72" s="421"/>
      <c r="F72" s="421"/>
      <c r="G72" s="421"/>
      <c r="H72" s="548"/>
      <c r="I72" s="421"/>
      <c r="J72" s="421"/>
      <c r="K72" s="421"/>
      <c r="L72" s="421"/>
      <c r="M72" s="421"/>
      <c r="N72" s="421"/>
      <c r="P72" s="421"/>
      <c r="V72" s="298">
        <f t="shared" si="29"/>
        <v>0</v>
      </c>
      <c r="W72" s="421"/>
      <c r="Z72" s="657"/>
    </row>
    <row r="73" spans="1:26">
      <c r="A73" s="715"/>
      <c r="B73" s="421"/>
      <c r="C73" s="421"/>
      <c r="D73" s="421"/>
      <c r="E73" s="421"/>
      <c r="F73" s="421"/>
      <c r="G73" s="421"/>
      <c r="H73" s="548"/>
      <c r="I73" s="421"/>
      <c r="J73" s="421"/>
      <c r="K73" s="421"/>
      <c r="L73" s="421"/>
      <c r="M73" s="421"/>
      <c r="N73" s="421"/>
      <c r="P73" s="421"/>
      <c r="V73" s="298">
        <f t="shared" si="29"/>
        <v>0</v>
      </c>
      <c r="W73" s="421"/>
      <c r="Z73" s="657"/>
    </row>
    <row r="74" spans="1:26" s="503" customFormat="1">
      <c r="A74" s="715"/>
      <c r="B74" s="421"/>
      <c r="C74" s="259"/>
      <c r="D74" s="259"/>
      <c r="E74" s="259"/>
      <c r="F74" s="259"/>
      <c r="G74" s="259"/>
      <c r="H74" s="260"/>
      <c r="I74" s="259"/>
      <c r="J74" s="259"/>
      <c r="K74" s="259"/>
      <c r="L74" s="259"/>
      <c r="M74" s="259"/>
      <c r="N74" s="259"/>
      <c r="O74" s="523"/>
      <c r="P74" s="259"/>
      <c r="V74" s="503">
        <f t="shared" si="29"/>
        <v>0</v>
      </c>
      <c r="W74" s="259"/>
      <c r="Z74" s="261"/>
    </row>
    <row r="75" spans="1:26" s="503" customFormat="1">
      <c r="A75" s="715"/>
      <c r="B75" s="421"/>
      <c r="C75" s="259"/>
      <c r="D75" s="259"/>
      <c r="E75" s="259"/>
      <c r="F75" s="259"/>
      <c r="G75" s="259"/>
      <c r="H75" s="260"/>
      <c r="I75" s="259"/>
      <c r="J75" s="259"/>
      <c r="K75" s="259"/>
      <c r="L75" s="259"/>
      <c r="M75" s="259"/>
      <c r="N75" s="259"/>
      <c r="O75" s="523"/>
      <c r="P75" s="259"/>
      <c r="V75" s="503">
        <f t="shared" si="29"/>
        <v>0</v>
      </c>
      <c r="W75" s="259"/>
      <c r="Z75" s="261"/>
    </row>
    <row r="76" spans="1:26" s="503" customFormat="1">
      <c r="A76" s="715"/>
      <c r="B76" s="421"/>
      <c r="C76" s="259"/>
      <c r="D76" s="259"/>
      <c r="E76" s="259"/>
      <c r="F76" s="259"/>
      <c r="G76" s="259"/>
      <c r="H76" s="260"/>
      <c r="I76" s="259"/>
      <c r="J76" s="259"/>
      <c r="K76" s="259"/>
      <c r="L76" s="259"/>
      <c r="M76" s="259"/>
      <c r="N76" s="259"/>
      <c r="O76" s="523"/>
      <c r="P76" s="259"/>
      <c r="V76" s="503">
        <f t="shared" si="29"/>
        <v>0</v>
      </c>
      <c r="W76" s="259"/>
      <c r="Z76" s="261"/>
    </row>
    <row r="77" spans="1:26" s="503" customFormat="1">
      <c r="A77" s="715"/>
      <c r="B77" s="421"/>
      <c r="C77" s="259"/>
      <c r="D77" s="259"/>
      <c r="E77" s="259"/>
      <c r="F77" s="259"/>
      <c r="G77" s="259"/>
      <c r="H77" s="260"/>
      <c r="I77" s="259"/>
      <c r="J77" s="259"/>
      <c r="K77" s="259"/>
      <c r="L77" s="259"/>
      <c r="M77" s="259"/>
      <c r="N77" s="259"/>
      <c r="O77" s="523"/>
      <c r="P77" s="259"/>
      <c r="V77" s="503">
        <f t="shared" si="29"/>
        <v>0</v>
      </c>
      <c r="W77" s="259"/>
      <c r="Z77" s="261"/>
    </row>
    <row r="78" spans="1:26" s="503" customFormat="1">
      <c r="A78" s="715"/>
      <c r="B78" s="421"/>
      <c r="C78" s="276"/>
      <c r="D78" s="276"/>
      <c r="E78" s="276"/>
      <c r="F78" s="276"/>
      <c r="G78" s="276"/>
      <c r="H78" s="277"/>
      <c r="I78" s="276"/>
      <c r="J78" s="276"/>
      <c r="K78" s="276"/>
      <c r="L78" s="276"/>
      <c r="M78" s="276"/>
      <c r="N78" s="276"/>
      <c r="O78" s="523"/>
      <c r="P78" s="276"/>
      <c r="V78" s="503">
        <f t="shared" si="29"/>
        <v>0</v>
      </c>
      <c r="W78" s="276"/>
      <c r="Z78" s="440"/>
    </row>
    <row r="79" spans="1:26">
      <c r="A79" s="715"/>
      <c r="B79" s="421"/>
      <c r="C79" s="421"/>
      <c r="D79" s="421"/>
      <c r="E79" s="421"/>
      <c r="F79" s="421"/>
      <c r="G79" s="421"/>
      <c r="H79" s="548"/>
      <c r="I79" s="421"/>
      <c r="J79" s="421"/>
      <c r="K79" s="421"/>
      <c r="L79" s="421"/>
      <c r="M79" s="421"/>
      <c r="N79" s="421"/>
      <c r="P79" s="421"/>
      <c r="V79" s="298">
        <f t="shared" si="29"/>
        <v>0</v>
      </c>
      <c r="W79" s="421"/>
      <c r="Z79" s="657"/>
    </row>
    <row r="80" spans="1:26">
      <c r="A80" s="715"/>
      <c r="B80" s="421"/>
      <c r="C80" s="259"/>
      <c r="D80" s="259"/>
      <c r="E80" s="259"/>
      <c r="F80" s="259"/>
      <c r="G80" s="259"/>
      <c r="H80" s="260"/>
      <c r="I80" s="259"/>
      <c r="J80" s="259"/>
      <c r="K80" s="259"/>
      <c r="L80" s="259"/>
      <c r="M80" s="259"/>
      <c r="N80" s="259"/>
      <c r="O80" s="549"/>
      <c r="P80" s="259"/>
      <c r="V80" s="298">
        <f t="shared" si="29"/>
        <v>0</v>
      </c>
      <c r="W80" s="259"/>
      <c r="Z80" s="261"/>
    </row>
    <row r="81" spans="1:26">
      <c r="A81" s="715"/>
      <c r="B81" s="421"/>
      <c r="C81" s="259"/>
      <c r="D81" s="259"/>
      <c r="E81" s="259"/>
      <c r="F81" s="259"/>
      <c r="G81" s="259"/>
      <c r="H81" s="260"/>
      <c r="I81" s="259"/>
      <c r="J81" s="259"/>
      <c r="K81" s="259"/>
      <c r="L81" s="259"/>
      <c r="M81" s="259"/>
      <c r="N81" s="259"/>
      <c r="O81" s="549"/>
      <c r="P81" s="259"/>
      <c r="V81" s="298">
        <f t="shared" si="29"/>
        <v>0</v>
      </c>
      <c r="W81" s="259"/>
      <c r="Z81" s="261"/>
    </row>
    <row r="82" spans="1:26">
      <c r="V82" s="298">
        <f t="shared" si="29"/>
        <v>0</v>
      </c>
    </row>
    <row r="83" spans="1:26">
      <c r="V83" s="298">
        <f t="shared" si="29"/>
        <v>0</v>
      </c>
    </row>
    <row r="84" spans="1:26">
      <c r="V84" s="298">
        <f t="shared" si="29"/>
        <v>0</v>
      </c>
    </row>
    <row r="85" spans="1:26">
      <c r="V85" s="298">
        <f t="shared" si="29"/>
        <v>0</v>
      </c>
    </row>
    <row r="86" spans="1:26">
      <c r="V86" s="298">
        <f t="shared" si="29"/>
        <v>0</v>
      </c>
    </row>
    <row r="87" spans="1:26">
      <c r="V87" s="298">
        <f t="shared" si="29"/>
        <v>0</v>
      </c>
    </row>
    <row r="88" spans="1:26">
      <c r="V88" s="298">
        <f t="shared" si="29"/>
        <v>0</v>
      </c>
    </row>
    <row r="89" spans="1:26">
      <c r="V89" s="298">
        <f t="shared" si="29"/>
        <v>0</v>
      </c>
    </row>
    <row r="90" spans="1:26">
      <c r="V90" s="298">
        <f t="shared" si="29"/>
        <v>0</v>
      </c>
    </row>
    <row r="91" spans="1:26">
      <c r="V91" s="298">
        <f t="shared" si="29"/>
        <v>0</v>
      </c>
    </row>
    <row r="92" spans="1:26">
      <c r="V92" s="298">
        <f t="shared" si="29"/>
        <v>0</v>
      </c>
    </row>
    <row r="93" spans="1:26">
      <c r="V93" s="298">
        <f t="shared" si="29"/>
        <v>0</v>
      </c>
    </row>
    <row r="94" spans="1:26">
      <c r="V94" s="298">
        <f t="shared" si="29"/>
        <v>0</v>
      </c>
    </row>
    <row r="95" spans="1:26">
      <c r="V95" s="298">
        <f t="shared" si="29"/>
        <v>0</v>
      </c>
    </row>
    <row r="96" spans="1:26">
      <c r="V96" s="298">
        <f t="shared" si="29"/>
        <v>0</v>
      </c>
    </row>
    <row r="97" spans="22:22">
      <c r="V97" s="298">
        <f t="shared" si="29"/>
        <v>0</v>
      </c>
    </row>
    <row r="98" spans="22:22">
      <c r="V98" s="298">
        <f t="shared" si="29"/>
        <v>0</v>
      </c>
    </row>
    <row r="99" spans="22:22">
      <c r="V99" s="298">
        <f t="shared" si="29"/>
        <v>0</v>
      </c>
    </row>
    <row r="100" spans="22:22">
      <c r="V100" s="298">
        <f t="shared" si="29"/>
        <v>0</v>
      </c>
    </row>
    <row r="101" spans="22:22">
      <c r="V101" s="298">
        <f t="shared" si="29"/>
        <v>0</v>
      </c>
    </row>
    <row r="102" spans="22:22">
      <c r="V102" s="298">
        <f t="shared" si="29"/>
        <v>0</v>
      </c>
    </row>
    <row r="103" spans="22:22">
      <c r="V103" s="298">
        <f t="shared" si="29"/>
        <v>0</v>
      </c>
    </row>
    <row r="104" spans="22:22">
      <c r="V104" s="298">
        <f t="shared" si="29"/>
        <v>0</v>
      </c>
    </row>
    <row r="105" spans="22:22">
      <c r="V105" s="298">
        <f t="shared" si="29"/>
        <v>0</v>
      </c>
    </row>
    <row r="106" spans="22:22">
      <c r="V106" s="298">
        <f t="shared" si="29"/>
        <v>0</v>
      </c>
    </row>
    <row r="107" spans="22:22">
      <c r="V107" s="298">
        <f t="shared" si="29"/>
        <v>0</v>
      </c>
    </row>
    <row r="108" spans="22:22">
      <c r="V108" s="298">
        <f t="shared" si="29"/>
        <v>0</v>
      </c>
    </row>
    <row r="109" spans="22:22">
      <c r="V109" s="298">
        <f t="shared" si="29"/>
        <v>0</v>
      </c>
    </row>
    <row r="110" spans="22:22">
      <c r="V110" s="298">
        <f t="shared" si="29"/>
        <v>0</v>
      </c>
    </row>
    <row r="111" spans="22:22">
      <c r="V111" s="298">
        <f t="shared" si="29"/>
        <v>0</v>
      </c>
    </row>
    <row r="112" spans="22:22">
      <c r="V112" s="298">
        <f t="shared" si="29"/>
        <v>0</v>
      </c>
    </row>
    <row r="113" spans="22:22">
      <c r="V113" s="298">
        <f t="shared" si="29"/>
        <v>0</v>
      </c>
    </row>
    <row r="114" spans="22:22">
      <c r="V114" s="298">
        <f t="shared" si="29"/>
        <v>0</v>
      </c>
    </row>
    <row r="115" spans="22:22">
      <c r="V115" s="298">
        <f t="shared" si="29"/>
        <v>0</v>
      </c>
    </row>
    <row r="116" spans="22:22">
      <c r="V116" s="298">
        <f t="shared" si="29"/>
        <v>0</v>
      </c>
    </row>
    <row r="117" spans="22:22">
      <c r="V117" s="298">
        <f t="shared" si="29"/>
        <v>0</v>
      </c>
    </row>
    <row r="118" spans="22:22">
      <c r="V118" s="298">
        <f t="shared" si="29"/>
        <v>0</v>
      </c>
    </row>
    <row r="119" spans="22:22">
      <c r="V119" s="298">
        <f t="shared" si="29"/>
        <v>0</v>
      </c>
    </row>
    <row r="120" spans="22:22">
      <c r="V120" s="298">
        <f t="shared" si="29"/>
        <v>0</v>
      </c>
    </row>
    <row r="121" spans="22:22">
      <c r="V121" s="298">
        <f t="shared" si="29"/>
        <v>0</v>
      </c>
    </row>
    <row r="122" spans="22:22">
      <c r="V122" s="298">
        <f t="shared" si="29"/>
        <v>0</v>
      </c>
    </row>
    <row r="123" spans="22:22">
      <c r="V123" s="298">
        <f t="shared" si="29"/>
        <v>0</v>
      </c>
    </row>
    <row r="124" spans="22:22">
      <c r="V124" s="298">
        <f t="shared" ref="V124:V150" si="38">U124+P124</f>
        <v>0</v>
      </c>
    </row>
    <row r="125" spans="22:22">
      <c r="V125" s="298">
        <f t="shared" si="38"/>
        <v>0</v>
      </c>
    </row>
    <row r="126" spans="22:22">
      <c r="V126" s="298">
        <f t="shared" si="38"/>
        <v>0</v>
      </c>
    </row>
    <row r="127" spans="22:22">
      <c r="V127" s="298">
        <f t="shared" si="38"/>
        <v>0</v>
      </c>
    </row>
    <row r="128" spans="22:22">
      <c r="V128" s="298">
        <f t="shared" si="38"/>
        <v>0</v>
      </c>
    </row>
    <row r="129" spans="7:22">
      <c r="V129" s="298">
        <f t="shared" si="38"/>
        <v>0</v>
      </c>
    </row>
    <row r="130" spans="7:22">
      <c r="V130" s="298">
        <f t="shared" si="38"/>
        <v>0</v>
      </c>
    </row>
    <row r="131" spans="7:22">
      <c r="V131" s="298">
        <f t="shared" si="38"/>
        <v>0</v>
      </c>
    </row>
    <row r="132" spans="7:22">
      <c r="G132" s="238">
        <f>F132</f>
        <v>0</v>
      </c>
      <c r="V132" s="298">
        <f t="shared" si="38"/>
        <v>0</v>
      </c>
    </row>
    <row r="133" spans="7:22">
      <c r="V133" s="298">
        <f t="shared" si="38"/>
        <v>0</v>
      </c>
    </row>
    <row r="134" spans="7:22">
      <c r="V134" s="298">
        <f t="shared" si="38"/>
        <v>0</v>
      </c>
    </row>
    <row r="135" spans="7:22">
      <c r="V135" s="298">
        <f t="shared" si="38"/>
        <v>0</v>
      </c>
    </row>
    <row r="136" spans="7:22">
      <c r="V136" s="298">
        <f t="shared" si="38"/>
        <v>0</v>
      </c>
    </row>
    <row r="137" spans="7:22">
      <c r="V137" s="298">
        <f t="shared" si="38"/>
        <v>0</v>
      </c>
    </row>
    <row r="138" spans="7:22">
      <c r="V138" s="298">
        <f t="shared" si="38"/>
        <v>0</v>
      </c>
    </row>
    <row r="139" spans="7:22">
      <c r="V139" s="298">
        <f t="shared" si="38"/>
        <v>0</v>
      </c>
    </row>
    <row r="140" spans="7:22">
      <c r="V140" s="298">
        <f t="shared" si="38"/>
        <v>0</v>
      </c>
    </row>
    <row r="141" spans="7:22">
      <c r="V141" s="298">
        <f t="shared" si="38"/>
        <v>0</v>
      </c>
    </row>
    <row r="142" spans="7:22">
      <c r="V142" s="298">
        <f t="shared" si="38"/>
        <v>0</v>
      </c>
    </row>
    <row r="143" spans="7:22">
      <c r="V143" s="298">
        <f t="shared" si="38"/>
        <v>0</v>
      </c>
    </row>
    <row r="144" spans="7:22">
      <c r="V144" s="298">
        <f t="shared" si="38"/>
        <v>0</v>
      </c>
    </row>
    <row r="145" spans="7:22">
      <c r="V145" s="298">
        <f t="shared" si="38"/>
        <v>0</v>
      </c>
    </row>
    <row r="146" spans="7:22">
      <c r="V146" s="298">
        <f t="shared" si="38"/>
        <v>0</v>
      </c>
    </row>
    <row r="147" spans="7:22">
      <c r="V147" s="298">
        <f t="shared" si="38"/>
        <v>0</v>
      </c>
    </row>
    <row r="148" spans="7:22">
      <c r="V148" s="298">
        <f t="shared" si="38"/>
        <v>0</v>
      </c>
    </row>
    <row r="149" spans="7:22">
      <c r="V149" s="298">
        <f t="shared" si="38"/>
        <v>0</v>
      </c>
    </row>
    <row r="150" spans="7:22">
      <c r="V150" s="298">
        <f t="shared" si="38"/>
        <v>0</v>
      </c>
    </row>
    <row r="157" spans="7:22">
      <c r="G157" s="238">
        <f>F157</f>
        <v>0</v>
      </c>
    </row>
    <row r="162" spans="7:7">
      <c r="G162" s="238">
        <f>F162</f>
        <v>0</v>
      </c>
    </row>
    <row r="163" spans="7:7">
      <c r="G163" s="238">
        <f>F163</f>
        <v>0</v>
      </c>
    </row>
    <row r="166" spans="7:7">
      <c r="G166" s="238">
        <f>F166</f>
        <v>0</v>
      </c>
    </row>
    <row r="167" spans="7:7">
      <c r="G167" s="238">
        <f>F167</f>
        <v>0</v>
      </c>
    </row>
    <row r="170" spans="7:7">
      <c r="G170" s="238">
        <f>F170</f>
        <v>0</v>
      </c>
    </row>
    <row r="171" spans="7:7">
      <c r="G171" s="238">
        <f>F171</f>
        <v>0</v>
      </c>
    </row>
    <row r="172" spans="7:7">
      <c r="G172" s="238">
        <f>F172</f>
        <v>0</v>
      </c>
    </row>
    <row r="173" spans="7:7">
      <c r="G173" s="238">
        <f>F173</f>
        <v>0</v>
      </c>
    </row>
  </sheetData>
  <autoFilter ref="B5:O63" xr:uid="{00000000-0009-0000-0000-00000B000000}"/>
  <printOptions horizontalCentered="1" headings="1" gridLines="1"/>
  <pageMargins left="0" right="0" top="0.75" bottom="0.25" header="0.25" footer="0.25"/>
  <pageSetup scale="40" fitToHeight="3" orientation="landscape" r:id="rId1"/>
  <headerFooter>
    <oddFooter>Page &amp;P of &amp;N</oddFooter>
  </headerFooter>
  <rowBreaks count="1" manualBreakCount="1">
    <brk id="36" max="2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7DC26-3F80-4D83-8856-EDF23A4ABC54}">
  <sheetPr>
    <tabColor rgb="FFFF0000"/>
  </sheetPr>
  <dimension ref="A1:AA189"/>
  <sheetViews>
    <sheetView tabSelected="1" view="pageBreakPreview" zoomScale="75" zoomScaleNormal="100" zoomScaleSheetLayoutView="75" workbookViewId="0">
      <pane xSplit="15" ySplit="5" topLeftCell="P135" activePane="bottomRight" state="frozen"/>
      <selection activeCell="Y25" sqref="Y25"/>
      <selection pane="topRight" activeCell="Y25" sqref="Y25"/>
      <selection pane="bottomLeft" activeCell="Y25" sqref="Y25"/>
      <selection pane="bottomRight" activeCell="Y25" sqref="Y25"/>
    </sheetView>
  </sheetViews>
  <sheetFormatPr defaultColWidth="10.5625" defaultRowHeight="15.75"/>
  <cols>
    <col min="1" max="1" width="11.3125" style="201" customWidth="1"/>
    <col min="2" max="2" width="42.25" style="446" customWidth="1"/>
    <col min="3" max="3" width="14.5625" style="89" hidden="1" customWidth="1"/>
    <col min="4" max="4" width="17.3125" style="89" hidden="1" customWidth="1"/>
    <col min="5" max="5" width="14.25" style="89" hidden="1" customWidth="1"/>
    <col min="6" max="7" width="17" style="89" hidden="1" customWidth="1"/>
    <col min="8" max="8" width="18.0625" style="256" hidden="1" customWidth="1"/>
    <col min="9" max="9" width="13.5625" style="89" hidden="1" customWidth="1"/>
    <col min="10" max="10" width="16" style="89" hidden="1" customWidth="1"/>
    <col min="11" max="11" width="14.3125" style="89" hidden="1" customWidth="1"/>
    <col min="12" max="12" width="0.5625" style="89" hidden="1" customWidth="1"/>
    <col min="13" max="13" width="19.5" style="89" hidden="1" customWidth="1"/>
    <col min="14" max="14" width="19.3125" style="89" hidden="1" customWidth="1"/>
    <col min="15" max="15" width="22" style="256" hidden="1" customWidth="1"/>
    <col min="16" max="16" width="13.5625" style="89" customWidth="1"/>
    <col min="17" max="17" width="20.8125" style="446" customWidth="1"/>
    <col min="18" max="18" width="18" style="446" customWidth="1"/>
    <col min="19" max="19" width="20.3125" style="446" customWidth="1"/>
    <col min="20" max="20" width="14.5" style="446" customWidth="1"/>
    <col min="21" max="22" width="19.8125" style="446" customWidth="1"/>
    <col min="23" max="23" width="18.75" style="89" customWidth="1"/>
    <col min="24" max="24" width="30.75" style="446" customWidth="1"/>
    <col min="25" max="25" width="51.75" style="445" customWidth="1"/>
    <col min="26" max="26" width="16.9375" style="257" customWidth="1"/>
    <col min="27" max="27" width="14.8125" style="446" customWidth="1"/>
    <col min="28" max="16384" width="10.5625" style="446"/>
  </cols>
  <sheetData>
    <row r="1" spans="1:27" s="8" customFormat="1" ht="16.149999999999999" customHeight="1">
      <c r="A1" s="1" t="s">
        <v>0</v>
      </c>
      <c r="C1" s="3"/>
      <c r="D1" s="3"/>
      <c r="E1" s="3"/>
      <c r="F1" s="3"/>
      <c r="G1" s="202"/>
      <c r="H1" s="203"/>
      <c r="I1" s="3"/>
      <c r="J1" s="3"/>
      <c r="K1" s="3"/>
      <c r="L1" s="441"/>
      <c r="M1" s="441"/>
      <c r="O1" s="209" t="s">
        <v>1</v>
      </c>
      <c r="W1" s="3"/>
      <c r="Y1" s="209" t="s">
        <v>1</v>
      </c>
      <c r="Z1" s="442"/>
    </row>
    <row r="2" spans="1:27" s="8" customFormat="1" ht="16.149999999999999" customHeight="1">
      <c r="A2" s="11" t="s">
        <v>1167</v>
      </c>
      <c r="B2" s="658"/>
      <c r="C2" s="4"/>
      <c r="D2" s="4"/>
      <c r="E2" s="4"/>
      <c r="F2" s="4"/>
      <c r="G2" s="202"/>
      <c r="H2" s="203"/>
      <c r="I2" s="4"/>
      <c r="J2" s="4"/>
      <c r="K2" s="4"/>
      <c r="L2" s="441"/>
      <c r="M2" s="441"/>
      <c r="W2" s="4"/>
      <c r="Z2" s="442"/>
    </row>
    <row r="3" spans="1:27" ht="13.5" customHeight="1">
      <c r="A3" s="14" t="s">
        <v>941</v>
      </c>
      <c r="B3" s="89"/>
      <c r="D3" s="256"/>
      <c r="G3" s="202"/>
      <c r="H3" s="203"/>
      <c r="O3" s="445"/>
    </row>
    <row r="4" spans="1:27" s="189" customFormat="1" ht="16.149999999999999" thickBot="1">
      <c r="A4" s="14"/>
      <c r="C4" s="448"/>
      <c r="D4" s="448"/>
      <c r="E4" s="448"/>
      <c r="F4" s="448"/>
      <c r="G4" s="448"/>
      <c r="H4" s="449"/>
      <c r="I4" s="448"/>
      <c r="J4" s="448"/>
      <c r="K4" s="448"/>
      <c r="L4" s="448"/>
      <c r="M4" s="448"/>
      <c r="N4" s="448"/>
      <c r="O4" s="449"/>
      <c r="P4" s="448"/>
      <c r="W4" s="448"/>
      <c r="Y4" s="190"/>
      <c r="Z4" s="451"/>
    </row>
    <row r="5" spans="1:27" s="200" customFormat="1" ht="85.15" customHeight="1" thickBot="1">
      <c r="A5" s="25" t="s">
        <v>5</v>
      </c>
      <c r="B5" s="497" t="s">
        <v>6</v>
      </c>
      <c r="C5" s="27" t="s">
        <v>7</v>
      </c>
      <c r="D5" s="28" t="s">
        <v>8</v>
      </c>
      <c r="E5" s="29" t="s">
        <v>9</v>
      </c>
      <c r="F5" s="29" t="s">
        <v>10</v>
      </c>
      <c r="G5" s="192" t="s">
        <v>11</v>
      </c>
      <c r="H5" s="29" t="s">
        <v>12</v>
      </c>
      <c r="I5" s="31" t="s">
        <v>141</v>
      </c>
      <c r="J5" s="31" t="s">
        <v>142</v>
      </c>
      <c r="K5" s="31" t="s">
        <v>15</v>
      </c>
      <c r="L5" s="193" t="s">
        <v>16</v>
      </c>
      <c r="M5" s="193" t="s">
        <v>17</v>
      </c>
      <c r="N5" s="193" t="s">
        <v>144</v>
      </c>
      <c r="O5" s="193" t="s">
        <v>145</v>
      </c>
      <c r="P5" s="193" t="s">
        <v>20</v>
      </c>
      <c r="Q5" s="195" t="s">
        <v>146</v>
      </c>
      <c r="R5" s="195" t="s">
        <v>147</v>
      </c>
      <c r="S5" s="195" t="s">
        <v>23</v>
      </c>
      <c r="T5" s="195" t="s">
        <v>24</v>
      </c>
      <c r="U5" s="195" t="s">
        <v>25</v>
      </c>
      <c r="V5" s="195" t="s">
        <v>148</v>
      </c>
      <c r="W5" s="35" t="s">
        <v>27</v>
      </c>
      <c r="X5" s="196" t="s">
        <v>28</v>
      </c>
      <c r="Y5" s="662" t="s">
        <v>145</v>
      </c>
      <c r="Z5" s="198" t="s">
        <v>30</v>
      </c>
      <c r="AA5" s="38" t="s">
        <v>149</v>
      </c>
    </row>
    <row r="6" spans="1:27">
      <c r="A6" s="716">
        <f>Governance!A63+1</f>
        <v>568</v>
      </c>
      <c r="B6" s="461" t="s">
        <v>942</v>
      </c>
      <c r="D6" s="202"/>
      <c r="E6" s="202"/>
      <c r="F6" s="202"/>
      <c r="G6" s="202"/>
      <c r="H6" s="203"/>
      <c r="I6" s="202"/>
      <c r="J6" s="202"/>
      <c r="K6" s="202"/>
      <c r="L6" s="204"/>
      <c r="M6" s="204"/>
      <c r="N6" s="204"/>
      <c r="O6" s="717"/>
      <c r="P6" s="204"/>
      <c r="Q6" s="466"/>
      <c r="R6" s="466"/>
      <c r="S6" s="466"/>
      <c r="T6" s="466"/>
      <c r="U6" s="466"/>
      <c r="V6" s="466"/>
      <c r="W6" s="202"/>
      <c r="X6" s="466"/>
      <c r="Y6" s="467"/>
      <c r="Z6" s="208"/>
      <c r="AA6" s="718"/>
    </row>
    <row r="7" spans="1:27">
      <c r="A7" s="521">
        <f>A6+1</f>
        <v>569</v>
      </c>
      <c r="B7" s="446" t="s">
        <v>943</v>
      </c>
      <c r="C7" s="202">
        <v>1324388.8319999999</v>
      </c>
      <c r="D7" s="202">
        <v>0</v>
      </c>
      <c r="E7" s="202">
        <v>160487</v>
      </c>
      <c r="F7" s="202"/>
      <c r="G7" s="202"/>
      <c r="H7" s="203"/>
      <c r="I7" s="202"/>
      <c r="J7" s="202"/>
      <c r="K7" s="202"/>
      <c r="L7" s="204"/>
      <c r="M7" s="204"/>
      <c r="N7" s="204">
        <f t="shared" ref="N7:N70" si="0">L7+M7</f>
        <v>0</v>
      </c>
      <c r="O7" s="212"/>
      <c r="P7" s="204">
        <f t="shared" ref="P7:P70" si="1">N7</f>
        <v>0</v>
      </c>
      <c r="Q7" s="466"/>
      <c r="R7" s="466"/>
      <c r="S7" s="66"/>
      <c r="T7" s="66">
        <f>R7+S7</f>
        <v>0</v>
      </c>
      <c r="U7" s="205">
        <f t="shared" ref="U7:U70" si="2">Q7+T7</f>
        <v>0</v>
      </c>
      <c r="V7" s="205"/>
      <c r="W7" s="227">
        <f t="shared" ref="W7:W20" si="3">E7+G7+K7</f>
        <v>160487</v>
      </c>
      <c r="X7" s="205"/>
      <c r="Y7" s="467"/>
      <c r="Z7" s="208">
        <v>0</v>
      </c>
      <c r="AA7" s="245"/>
    </row>
    <row r="8" spans="1:27">
      <c r="A8" s="201">
        <f t="shared" ref="A8:A69" si="4">A7+1</f>
        <v>570</v>
      </c>
      <c r="B8" s="446" t="s">
        <v>944</v>
      </c>
      <c r="C8" s="202">
        <v>38204</v>
      </c>
      <c r="D8" s="202">
        <v>0</v>
      </c>
      <c r="E8" s="202"/>
      <c r="F8" s="202"/>
      <c r="G8" s="202"/>
      <c r="H8" s="203"/>
      <c r="I8" s="202"/>
      <c r="J8" s="202"/>
      <c r="K8" s="202"/>
      <c r="L8" s="204"/>
      <c r="M8" s="204"/>
      <c r="N8" s="204">
        <f t="shared" si="0"/>
        <v>0</v>
      </c>
      <c r="O8" s="212"/>
      <c r="P8" s="204">
        <f t="shared" si="1"/>
        <v>0</v>
      </c>
      <c r="Q8" s="466"/>
      <c r="R8" s="466"/>
      <c r="S8" s="66"/>
      <c r="T8" s="66">
        <f t="shared" ref="T8:T22" si="5">R8+S8</f>
        <v>0</v>
      </c>
      <c r="U8" s="205">
        <f t="shared" si="2"/>
        <v>0</v>
      </c>
      <c r="V8" s="205">
        <f t="shared" ref="V8:V22" si="6">U8+P8</f>
        <v>0</v>
      </c>
      <c r="W8" s="227">
        <f t="shared" si="3"/>
        <v>0</v>
      </c>
      <c r="X8" s="205"/>
      <c r="Y8" s="467"/>
      <c r="Z8" s="208">
        <v>0</v>
      </c>
      <c r="AA8" s="245"/>
    </row>
    <row r="9" spans="1:27">
      <c r="A9" s="201">
        <f t="shared" si="4"/>
        <v>571</v>
      </c>
      <c r="B9" s="445" t="s">
        <v>945</v>
      </c>
      <c r="C9" s="202"/>
      <c r="D9" s="202">
        <v>1000000</v>
      </c>
      <c r="E9" s="202"/>
      <c r="F9" s="202">
        <v>283000</v>
      </c>
      <c r="G9" s="202">
        <v>140000</v>
      </c>
      <c r="H9" s="203"/>
      <c r="I9" s="202"/>
      <c r="J9" s="202">
        <v>275000</v>
      </c>
      <c r="K9" s="202">
        <f>J9</f>
        <v>275000</v>
      </c>
      <c r="L9" s="204"/>
      <c r="M9" s="204">
        <v>275000</v>
      </c>
      <c r="N9" s="204">
        <f t="shared" si="0"/>
        <v>275000</v>
      </c>
      <c r="O9" s="212"/>
      <c r="P9" s="204">
        <f t="shared" si="1"/>
        <v>275000</v>
      </c>
      <c r="Q9" s="719">
        <v>240000</v>
      </c>
      <c r="R9" s="719"/>
      <c r="S9" s="140">
        <v>240000</v>
      </c>
      <c r="T9" s="140">
        <f t="shared" si="5"/>
        <v>240000</v>
      </c>
      <c r="U9" s="233">
        <f t="shared" si="2"/>
        <v>480000</v>
      </c>
      <c r="V9" s="205">
        <f t="shared" si="6"/>
        <v>755000</v>
      </c>
      <c r="W9" s="227">
        <f t="shared" si="3"/>
        <v>415000</v>
      </c>
      <c r="X9" s="233"/>
      <c r="Y9" s="467"/>
      <c r="Z9" s="208">
        <v>500000</v>
      </c>
      <c r="AA9" s="245">
        <v>849000</v>
      </c>
    </row>
    <row r="10" spans="1:27" ht="47.25">
      <c r="A10" s="201">
        <f t="shared" si="4"/>
        <v>572</v>
      </c>
      <c r="B10" s="445" t="s">
        <v>946</v>
      </c>
      <c r="C10" s="202"/>
      <c r="D10" s="202">
        <v>163000</v>
      </c>
      <c r="E10" s="202"/>
      <c r="F10" s="202">
        <v>55000</v>
      </c>
      <c r="G10" s="202">
        <v>40000</v>
      </c>
      <c r="H10" s="203"/>
      <c r="I10" s="202">
        <f>7500+1200+2000+1300</f>
        <v>12000</v>
      </c>
      <c r="J10" s="202">
        <v>68000</v>
      </c>
      <c r="K10" s="202">
        <f t="shared" ref="K10:K20" si="7">J10</f>
        <v>68000</v>
      </c>
      <c r="L10" s="204">
        <f>7500+1200+2000+1300</f>
        <v>12000</v>
      </c>
      <c r="M10" s="204">
        <v>68000</v>
      </c>
      <c r="N10" s="204">
        <f t="shared" si="0"/>
        <v>80000</v>
      </c>
      <c r="O10" s="212" t="s">
        <v>947</v>
      </c>
      <c r="P10" s="204">
        <f t="shared" si="1"/>
        <v>80000</v>
      </c>
      <c r="Q10" s="466">
        <v>70000</v>
      </c>
      <c r="R10" s="586">
        <v>11000</v>
      </c>
      <c r="S10" s="66">
        <v>70000</v>
      </c>
      <c r="T10" s="66">
        <f t="shared" si="5"/>
        <v>81000</v>
      </c>
      <c r="U10" s="66">
        <f t="shared" si="2"/>
        <v>151000</v>
      </c>
      <c r="V10" s="205">
        <f t="shared" si="6"/>
        <v>231000</v>
      </c>
      <c r="W10" s="227">
        <f t="shared" si="3"/>
        <v>108000</v>
      </c>
      <c r="X10" s="66"/>
      <c r="Y10" s="467" t="s">
        <v>947</v>
      </c>
      <c r="Z10" s="208">
        <v>152000</v>
      </c>
      <c r="AA10" s="245">
        <v>163000</v>
      </c>
    </row>
    <row r="11" spans="1:27" ht="39.4" customHeight="1">
      <c r="A11" s="201">
        <f t="shared" si="4"/>
        <v>573</v>
      </c>
      <c r="B11" s="445" t="s">
        <v>948</v>
      </c>
      <c r="C11" s="202"/>
      <c r="D11" s="202">
        <v>66800</v>
      </c>
      <c r="E11" s="202"/>
      <c r="F11" s="202">
        <v>22000</v>
      </c>
      <c r="G11" s="202">
        <v>22000</v>
      </c>
      <c r="H11" s="203"/>
      <c r="I11" s="202"/>
      <c r="J11" s="202">
        <v>22000</v>
      </c>
      <c r="K11" s="202">
        <f t="shared" si="7"/>
        <v>22000</v>
      </c>
      <c r="L11" s="204"/>
      <c r="M11" s="204">
        <v>22000</v>
      </c>
      <c r="N11" s="204">
        <f t="shared" si="0"/>
        <v>22000</v>
      </c>
      <c r="O11" s="212" t="s">
        <v>949</v>
      </c>
      <c r="P11" s="204">
        <f t="shared" si="1"/>
        <v>22000</v>
      </c>
      <c r="Q11" s="466">
        <v>25000</v>
      </c>
      <c r="R11" s="466"/>
      <c r="S11" s="66">
        <v>25000</v>
      </c>
      <c r="T11" s="66">
        <f t="shared" si="5"/>
        <v>25000</v>
      </c>
      <c r="U11" s="205">
        <f t="shared" si="2"/>
        <v>50000</v>
      </c>
      <c r="V11" s="205">
        <f t="shared" si="6"/>
        <v>72000</v>
      </c>
      <c r="W11" s="227">
        <f t="shared" si="3"/>
        <v>44000</v>
      </c>
      <c r="X11" s="205"/>
      <c r="Y11" s="467" t="s">
        <v>949</v>
      </c>
      <c r="Z11" s="208">
        <v>50000</v>
      </c>
      <c r="AA11" s="245">
        <v>66800</v>
      </c>
    </row>
    <row r="12" spans="1:27" ht="22.5" customHeight="1">
      <c r="A12" s="201">
        <f t="shared" si="4"/>
        <v>574</v>
      </c>
      <c r="B12" s="445" t="s">
        <v>950</v>
      </c>
      <c r="C12" s="202"/>
      <c r="D12" s="202">
        <v>15000</v>
      </c>
      <c r="E12" s="202"/>
      <c r="F12" s="202">
        <v>3500</v>
      </c>
      <c r="G12" s="202">
        <v>1000</v>
      </c>
      <c r="H12" s="203" t="s">
        <v>951</v>
      </c>
      <c r="I12" s="202"/>
      <c r="J12" s="202">
        <v>1000</v>
      </c>
      <c r="K12" s="202">
        <f t="shared" si="7"/>
        <v>1000</v>
      </c>
      <c r="L12" s="204"/>
      <c r="M12" s="204">
        <v>1000</v>
      </c>
      <c r="N12" s="204">
        <f t="shared" si="0"/>
        <v>1000</v>
      </c>
      <c r="O12" s="212" t="s">
        <v>952</v>
      </c>
      <c r="P12" s="204">
        <f t="shared" si="1"/>
        <v>1000</v>
      </c>
      <c r="Q12" s="719">
        <v>0</v>
      </c>
      <c r="R12" s="719"/>
      <c r="S12" s="140">
        <v>0</v>
      </c>
      <c r="T12" s="140">
        <f t="shared" si="5"/>
        <v>0</v>
      </c>
      <c r="U12" s="233">
        <f t="shared" si="2"/>
        <v>0</v>
      </c>
      <c r="V12" s="205">
        <f t="shared" si="6"/>
        <v>1000</v>
      </c>
      <c r="W12" s="227">
        <f t="shared" si="3"/>
        <v>2000</v>
      </c>
      <c r="X12" s="233"/>
      <c r="Y12" s="467" t="s">
        <v>952</v>
      </c>
      <c r="Z12" s="208">
        <v>0</v>
      </c>
      <c r="AA12" s="245">
        <v>15000</v>
      </c>
    </row>
    <row r="13" spans="1:27" ht="28.15" customHeight="1">
      <c r="A13" s="201">
        <f t="shared" si="4"/>
        <v>575</v>
      </c>
      <c r="B13" s="445" t="s">
        <v>953</v>
      </c>
      <c r="C13" s="202"/>
      <c r="D13" s="202">
        <v>95000</v>
      </c>
      <c r="E13" s="202"/>
      <c r="F13" s="202">
        <v>30000</v>
      </c>
      <c r="G13" s="202">
        <v>20000</v>
      </c>
      <c r="H13" s="203"/>
      <c r="I13" s="202">
        <v>12000</v>
      </c>
      <c r="J13" s="202">
        <v>18000</v>
      </c>
      <c r="K13" s="202">
        <f t="shared" si="7"/>
        <v>18000</v>
      </c>
      <c r="L13" s="204">
        <v>12000</v>
      </c>
      <c r="M13" s="204">
        <v>18000</v>
      </c>
      <c r="N13" s="204">
        <f t="shared" si="0"/>
        <v>30000</v>
      </c>
      <c r="O13" s="212" t="s">
        <v>954</v>
      </c>
      <c r="P13" s="204">
        <f t="shared" si="1"/>
        <v>30000</v>
      </c>
      <c r="Q13" s="466">
        <v>19000</v>
      </c>
      <c r="R13" s="586">
        <v>11000</v>
      </c>
      <c r="S13" s="66">
        <v>18000</v>
      </c>
      <c r="T13" s="66">
        <f t="shared" si="5"/>
        <v>29000</v>
      </c>
      <c r="U13" s="66">
        <f t="shared" si="2"/>
        <v>48000</v>
      </c>
      <c r="V13" s="205">
        <f t="shared" si="6"/>
        <v>78000</v>
      </c>
      <c r="W13" s="227">
        <f t="shared" si="3"/>
        <v>38000</v>
      </c>
      <c r="X13" s="66"/>
      <c r="Y13" s="467" t="s">
        <v>954</v>
      </c>
      <c r="Z13" s="208">
        <v>49000</v>
      </c>
      <c r="AA13" s="245">
        <v>95000</v>
      </c>
    </row>
    <row r="14" spans="1:27" ht="44.45" customHeight="1">
      <c r="A14" s="201">
        <f t="shared" si="4"/>
        <v>576</v>
      </c>
      <c r="B14" s="445" t="s">
        <v>955</v>
      </c>
      <c r="C14" s="202"/>
      <c r="D14" s="202">
        <v>88000</v>
      </c>
      <c r="E14" s="202">
        <v>279912</v>
      </c>
      <c r="F14" s="202">
        <v>115000</v>
      </c>
      <c r="G14" s="202">
        <v>115000</v>
      </c>
      <c r="H14" s="203"/>
      <c r="I14" s="202"/>
      <c r="J14" s="202">
        <v>120000</v>
      </c>
      <c r="K14" s="202">
        <f t="shared" si="7"/>
        <v>120000</v>
      </c>
      <c r="L14" s="204"/>
      <c r="M14" s="204">
        <v>120000</v>
      </c>
      <c r="N14" s="204">
        <f t="shared" si="0"/>
        <v>120000</v>
      </c>
      <c r="O14" s="212" t="s">
        <v>956</v>
      </c>
      <c r="P14" s="204">
        <f t="shared" si="1"/>
        <v>120000</v>
      </c>
      <c r="Q14" s="466">
        <v>130000</v>
      </c>
      <c r="R14" s="466"/>
      <c r="S14" s="66">
        <v>130000</v>
      </c>
      <c r="T14" s="66">
        <f t="shared" si="5"/>
        <v>130000</v>
      </c>
      <c r="U14" s="205">
        <f t="shared" si="2"/>
        <v>260000</v>
      </c>
      <c r="V14" s="205">
        <f t="shared" si="6"/>
        <v>380000</v>
      </c>
      <c r="W14" s="227">
        <f t="shared" si="3"/>
        <v>514912</v>
      </c>
      <c r="X14" s="205"/>
      <c r="Y14" s="467" t="s">
        <v>956</v>
      </c>
      <c r="Z14" s="208">
        <v>260000</v>
      </c>
      <c r="AA14" s="245">
        <v>88000</v>
      </c>
    </row>
    <row r="15" spans="1:27">
      <c r="A15" s="201">
        <f t="shared" si="4"/>
        <v>577</v>
      </c>
      <c r="B15" s="445" t="s">
        <v>957</v>
      </c>
      <c r="C15" s="202"/>
      <c r="D15" s="202">
        <v>45000</v>
      </c>
      <c r="E15" s="202"/>
      <c r="F15" s="202">
        <v>15000</v>
      </c>
      <c r="G15" s="202">
        <v>0</v>
      </c>
      <c r="H15" s="203"/>
      <c r="I15" s="202"/>
      <c r="J15" s="202">
        <v>0</v>
      </c>
      <c r="K15" s="202">
        <f t="shared" si="7"/>
        <v>0</v>
      </c>
      <c r="L15" s="204"/>
      <c r="M15" s="204">
        <v>0</v>
      </c>
      <c r="N15" s="204">
        <f t="shared" si="0"/>
        <v>0</v>
      </c>
      <c r="O15" s="212"/>
      <c r="P15" s="204">
        <f t="shared" si="1"/>
        <v>0</v>
      </c>
      <c r="Q15" s="466">
        <v>0</v>
      </c>
      <c r="R15" s="466"/>
      <c r="S15" s="66">
        <v>0</v>
      </c>
      <c r="T15" s="66">
        <f t="shared" si="5"/>
        <v>0</v>
      </c>
      <c r="U15" s="205">
        <f t="shared" si="2"/>
        <v>0</v>
      </c>
      <c r="V15" s="205">
        <f t="shared" si="6"/>
        <v>0</v>
      </c>
      <c r="W15" s="227">
        <f t="shared" si="3"/>
        <v>0</v>
      </c>
      <c r="X15" s="205"/>
      <c r="Y15" s="467" t="s">
        <v>958</v>
      </c>
      <c r="Z15" s="208">
        <v>0</v>
      </c>
      <c r="AA15" s="245">
        <v>45000</v>
      </c>
    </row>
    <row r="16" spans="1:27" ht="31.5">
      <c r="A16" s="201">
        <f t="shared" si="4"/>
        <v>578</v>
      </c>
      <c r="B16" s="445" t="s">
        <v>959</v>
      </c>
      <c r="C16" s="202"/>
      <c r="D16" s="202">
        <v>20000</v>
      </c>
      <c r="E16" s="202"/>
      <c r="F16" s="202">
        <v>5000</v>
      </c>
      <c r="G16" s="202">
        <v>0</v>
      </c>
      <c r="H16" s="203"/>
      <c r="I16" s="202"/>
      <c r="J16" s="202">
        <v>5000</v>
      </c>
      <c r="K16" s="202">
        <f t="shared" si="7"/>
        <v>5000</v>
      </c>
      <c r="L16" s="204"/>
      <c r="M16" s="204">
        <v>5000</v>
      </c>
      <c r="N16" s="204">
        <f t="shared" si="0"/>
        <v>5000</v>
      </c>
      <c r="O16" s="720" t="s">
        <v>960</v>
      </c>
      <c r="P16" s="204">
        <f t="shared" si="1"/>
        <v>5000</v>
      </c>
      <c r="Q16" s="721">
        <v>0</v>
      </c>
      <c r="R16" s="721"/>
      <c r="S16" s="520">
        <v>0</v>
      </c>
      <c r="T16" s="66">
        <f t="shared" si="5"/>
        <v>0</v>
      </c>
      <c r="U16" s="205">
        <f t="shared" si="2"/>
        <v>0</v>
      </c>
      <c r="V16" s="205">
        <f t="shared" si="6"/>
        <v>5000</v>
      </c>
      <c r="W16" s="227">
        <f t="shared" si="3"/>
        <v>5000</v>
      </c>
      <c r="X16" s="205"/>
      <c r="Y16" s="467" t="s">
        <v>960</v>
      </c>
      <c r="Z16" s="208">
        <v>10000</v>
      </c>
      <c r="AA16" s="245">
        <v>20000</v>
      </c>
    </row>
    <row r="17" spans="1:27" ht="42.4" customHeight="1">
      <c r="A17" s="201">
        <f t="shared" si="4"/>
        <v>579</v>
      </c>
      <c r="B17" s="445" t="s">
        <v>961</v>
      </c>
      <c r="C17" s="202"/>
      <c r="D17" s="202">
        <v>12000</v>
      </c>
      <c r="E17" s="202"/>
      <c r="F17" s="202">
        <v>5000</v>
      </c>
      <c r="G17" s="202">
        <v>4000</v>
      </c>
      <c r="H17" s="203"/>
      <c r="I17" s="202"/>
      <c r="J17" s="202">
        <v>5000</v>
      </c>
      <c r="K17" s="202">
        <f t="shared" si="7"/>
        <v>5000</v>
      </c>
      <c r="L17" s="204"/>
      <c r="M17" s="204">
        <v>5000</v>
      </c>
      <c r="N17" s="204">
        <f t="shared" si="0"/>
        <v>5000</v>
      </c>
      <c r="O17" s="212" t="s">
        <v>962</v>
      </c>
      <c r="P17" s="204">
        <f t="shared" si="1"/>
        <v>5000</v>
      </c>
      <c r="Q17" s="721">
        <v>5000</v>
      </c>
      <c r="R17" s="466"/>
      <c r="S17" s="66">
        <v>6000</v>
      </c>
      <c r="T17" s="66">
        <f t="shared" si="5"/>
        <v>6000</v>
      </c>
      <c r="U17" s="205">
        <f t="shared" si="2"/>
        <v>11000</v>
      </c>
      <c r="V17" s="205">
        <f t="shared" si="6"/>
        <v>16000</v>
      </c>
      <c r="W17" s="227">
        <f t="shared" si="3"/>
        <v>9000</v>
      </c>
      <c r="X17" s="205"/>
      <c r="Y17" s="467" t="s">
        <v>962</v>
      </c>
      <c r="Z17" s="208">
        <v>12000</v>
      </c>
      <c r="AA17" s="245">
        <v>12000</v>
      </c>
    </row>
    <row r="18" spans="1:27">
      <c r="A18" s="201">
        <f t="shared" si="4"/>
        <v>580</v>
      </c>
      <c r="B18" s="445" t="s">
        <v>963</v>
      </c>
      <c r="C18" s="202"/>
      <c r="D18" s="202">
        <v>30000</v>
      </c>
      <c r="E18" s="202"/>
      <c r="F18" s="202">
        <v>10000</v>
      </c>
      <c r="G18" s="202">
        <v>6000</v>
      </c>
      <c r="H18" s="203"/>
      <c r="I18" s="202">
        <v>2000</v>
      </c>
      <c r="J18" s="202">
        <v>8000</v>
      </c>
      <c r="K18" s="202">
        <f t="shared" si="7"/>
        <v>8000</v>
      </c>
      <c r="L18" s="204">
        <v>2000</v>
      </c>
      <c r="M18" s="204">
        <v>8000</v>
      </c>
      <c r="N18" s="204">
        <f t="shared" si="0"/>
        <v>10000</v>
      </c>
      <c r="O18" s="212"/>
      <c r="P18" s="204">
        <f t="shared" si="1"/>
        <v>10000</v>
      </c>
      <c r="Q18" s="719">
        <v>8000</v>
      </c>
      <c r="R18" s="140">
        <v>2000</v>
      </c>
      <c r="S18" s="140">
        <v>10000</v>
      </c>
      <c r="T18" s="66">
        <f t="shared" si="5"/>
        <v>12000</v>
      </c>
      <c r="U18" s="205">
        <f t="shared" si="2"/>
        <v>20000</v>
      </c>
      <c r="V18" s="205">
        <f t="shared" si="6"/>
        <v>30000</v>
      </c>
      <c r="W18" s="227">
        <f t="shared" si="3"/>
        <v>14000</v>
      </c>
      <c r="X18" s="205"/>
      <c r="Y18" s="467"/>
      <c r="Z18" s="208">
        <v>22000</v>
      </c>
      <c r="AA18" s="245">
        <v>30000</v>
      </c>
    </row>
    <row r="19" spans="1:27" ht="22.5" customHeight="1">
      <c r="A19" s="201">
        <f t="shared" si="4"/>
        <v>581</v>
      </c>
      <c r="B19" s="445" t="s">
        <v>964</v>
      </c>
      <c r="C19" s="202"/>
      <c r="D19" s="202">
        <v>31500</v>
      </c>
      <c r="E19" s="202"/>
      <c r="F19" s="202">
        <v>10000</v>
      </c>
      <c r="G19" s="202">
        <v>5000</v>
      </c>
      <c r="H19" s="203"/>
      <c r="I19" s="202"/>
      <c r="J19" s="202">
        <v>8000</v>
      </c>
      <c r="K19" s="202">
        <f t="shared" si="7"/>
        <v>8000</v>
      </c>
      <c r="L19" s="204"/>
      <c r="M19" s="204">
        <v>8000</v>
      </c>
      <c r="N19" s="204">
        <f t="shared" si="0"/>
        <v>8000</v>
      </c>
      <c r="O19" s="212" t="s">
        <v>965</v>
      </c>
      <c r="P19" s="204">
        <f t="shared" si="1"/>
        <v>8000</v>
      </c>
      <c r="Q19" s="466">
        <v>8000</v>
      </c>
      <c r="R19" s="466"/>
      <c r="S19" s="66">
        <v>8000</v>
      </c>
      <c r="T19" s="66">
        <f t="shared" si="5"/>
        <v>8000</v>
      </c>
      <c r="U19" s="205">
        <f t="shared" si="2"/>
        <v>16000</v>
      </c>
      <c r="V19" s="205">
        <f t="shared" si="6"/>
        <v>24000</v>
      </c>
      <c r="W19" s="227">
        <f t="shared" si="3"/>
        <v>13000</v>
      </c>
      <c r="X19" s="205"/>
      <c r="Y19" s="467" t="s">
        <v>965</v>
      </c>
      <c r="Z19" s="208">
        <v>16000</v>
      </c>
      <c r="AA19" s="245">
        <v>31500</v>
      </c>
    </row>
    <row r="20" spans="1:27" ht="22.5" customHeight="1">
      <c r="A20" s="201">
        <f t="shared" si="4"/>
        <v>582</v>
      </c>
      <c r="B20" s="446" t="s">
        <v>966</v>
      </c>
      <c r="C20" s="202">
        <f>'[4]Salary Summary GC Adopted'!Y13</f>
        <v>3719695.3992224783</v>
      </c>
      <c r="D20" s="202">
        <v>3430645.9805986295</v>
      </c>
      <c r="E20" s="202">
        <v>489645</v>
      </c>
      <c r="F20" s="202">
        <f>'[3]Salary Summary 19 for 2019-2021'!L15</f>
        <v>931636.42</v>
      </c>
      <c r="G20" s="202">
        <v>931636.42</v>
      </c>
      <c r="H20" s="203"/>
      <c r="I20" s="202"/>
      <c r="J20" s="202">
        <f>'[3]Salary Summary 20 for 2019-2021'!P15+50000</f>
        <v>905916.64951740007</v>
      </c>
      <c r="K20" s="202">
        <f t="shared" si="7"/>
        <v>905916.64951740007</v>
      </c>
      <c r="L20" s="204"/>
      <c r="M20" s="204">
        <f>'Salary Summary 21 for 2022-2024'!M16+25000</f>
        <v>939163.96481252159</v>
      </c>
      <c r="N20" s="204">
        <f t="shared" si="0"/>
        <v>939163.96481252159</v>
      </c>
      <c r="O20" s="212"/>
      <c r="P20" s="204">
        <f t="shared" si="1"/>
        <v>939163.96481252159</v>
      </c>
      <c r="Q20" s="466">
        <f>'Salary Summary 21 for 2022-2024'!Q16+25000</f>
        <v>965549.85729292291</v>
      </c>
      <c r="R20" s="466"/>
      <c r="S20" s="66">
        <f>'Salary Summary 21 for 2022-2024'!U16+25000</f>
        <v>995338.25393975689</v>
      </c>
      <c r="T20" s="66">
        <f t="shared" si="5"/>
        <v>995338.25393975689</v>
      </c>
      <c r="U20" s="205">
        <f t="shared" si="2"/>
        <v>1960888.1112326798</v>
      </c>
      <c r="V20" s="205">
        <f t="shared" si="6"/>
        <v>2900052.0760452012</v>
      </c>
      <c r="W20" s="227">
        <f t="shared" si="3"/>
        <v>2327198.0695174001</v>
      </c>
      <c r="X20" s="205"/>
      <c r="Y20" s="467" t="s">
        <v>967</v>
      </c>
      <c r="Z20" s="208">
        <v>1960888.1112326798</v>
      </c>
      <c r="AA20" s="245">
        <v>2885250.0729665654</v>
      </c>
    </row>
    <row r="21" spans="1:27">
      <c r="A21" s="201">
        <f t="shared" si="4"/>
        <v>583</v>
      </c>
      <c r="B21" s="446" t="s">
        <v>968</v>
      </c>
      <c r="C21" s="202">
        <v>-900000</v>
      </c>
      <c r="D21" s="202">
        <v>-500000</v>
      </c>
      <c r="E21" s="202"/>
      <c r="F21" s="202"/>
      <c r="G21" s="202"/>
      <c r="H21" s="203"/>
      <c r="I21" s="202"/>
      <c r="J21" s="202"/>
      <c r="K21" s="202"/>
      <c r="L21" s="204"/>
      <c r="M21" s="204"/>
      <c r="N21" s="204">
        <f t="shared" si="0"/>
        <v>0</v>
      </c>
      <c r="O21" s="212"/>
      <c r="P21" s="204">
        <f t="shared" si="1"/>
        <v>0</v>
      </c>
      <c r="Q21" s="466"/>
      <c r="R21" s="466"/>
      <c r="S21" s="66"/>
      <c r="T21" s="66">
        <f t="shared" si="5"/>
        <v>0</v>
      </c>
      <c r="U21" s="205">
        <f t="shared" si="2"/>
        <v>0</v>
      </c>
      <c r="V21" s="205">
        <f t="shared" si="6"/>
        <v>0</v>
      </c>
      <c r="W21" s="202"/>
      <c r="X21" s="205"/>
      <c r="Y21" s="467"/>
      <c r="Z21" s="208">
        <v>0</v>
      </c>
      <c r="AA21" s="245">
        <v>0</v>
      </c>
    </row>
    <row r="22" spans="1:27">
      <c r="A22" s="201" t="s">
        <v>969</v>
      </c>
      <c r="B22" s="446" t="s">
        <v>919</v>
      </c>
      <c r="C22" s="202"/>
      <c r="D22" s="202"/>
      <c r="E22" s="202"/>
      <c r="F22" s="202"/>
      <c r="G22" s="202"/>
      <c r="H22" s="203"/>
      <c r="I22" s="202"/>
      <c r="J22" s="202"/>
      <c r="K22" s="202">
        <f>I23</f>
        <v>26000</v>
      </c>
      <c r="L22" s="204"/>
      <c r="M22" s="204"/>
      <c r="N22" s="204">
        <f t="shared" si="0"/>
        <v>0</v>
      </c>
      <c r="O22" s="212"/>
      <c r="P22" s="204">
        <f t="shared" si="1"/>
        <v>0</v>
      </c>
      <c r="Q22" s="466"/>
      <c r="R22" s="466"/>
      <c r="S22" s="66"/>
      <c r="T22" s="66">
        <f t="shared" si="5"/>
        <v>0</v>
      </c>
      <c r="U22" s="205">
        <f t="shared" si="2"/>
        <v>0</v>
      </c>
      <c r="V22" s="205">
        <f t="shared" si="6"/>
        <v>0</v>
      </c>
      <c r="W22" s="202">
        <f>E22+G22+K22</f>
        <v>26000</v>
      </c>
      <c r="X22" s="205"/>
      <c r="Y22" s="467"/>
      <c r="Z22" s="208">
        <v>0</v>
      </c>
      <c r="AA22" s="245"/>
    </row>
    <row r="23" spans="1:27" s="722" customFormat="1">
      <c r="A23" s="217">
        <f>A21+1</f>
        <v>584</v>
      </c>
      <c r="B23" s="722" t="s">
        <v>970</v>
      </c>
      <c r="C23" s="723">
        <f>SUM(C7:C21)</f>
        <v>4182288.2312224787</v>
      </c>
      <c r="D23" s="723">
        <f t="shared" ref="D23" si="8">SUM(D7:D21)</f>
        <v>4496945.9805986295</v>
      </c>
      <c r="E23" s="723">
        <f>SUM(E7:E21)</f>
        <v>930044</v>
      </c>
      <c r="F23" s="723">
        <f t="shared" ref="F23:H23" si="9">SUM(F7:F21)</f>
        <v>1485136.42</v>
      </c>
      <c r="G23" s="723">
        <f t="shared" si="9"/>
        <v>1284636.42</v>
      </c>
      <c r="H23" s="723">
        <f t="shared" si="9"/>
        <v>0</v>
      </c>
      <c r="I23" s="723">
        <f>SUM(I7:I21)</f>
        <v>26000</v>
      </c>
      <c r="J23" s="723">
        <f t="shared" ref="J23" si="10">SUM(J7:J21)</f>
        <v>1435916.6495174002</v>
      </c>
      <c r="K23" s="723">
        <f>SUM(K7:K21)</f>
        <v>1435916.6495174002</v>
      </c>
      <c r="L23" s="724">
        <f>SUM(L7:L21)</f>
        <v>26000</v>
      </c>
      <c r="M23" s="724">
        <f t="shared" ref="M23:N23" si="11">SUM(M7:M21)</f>
        <v>1469163.9648125216</v>
      </c>
      <c r="N23" s="724">
        <f t="shared" si="11"/>
        <v>1495163.9648125216</v>
      </c>
      <c r="O23" s="725"/>
      <c r="P23" s="724">
        <f t="shared" si="1"/>
        <v>1495163.9648125216</v>
      </c>
      <c r="Q23" s="513">
        <f t="shared" ref="Q23:T23" si="12">SUM(Q7:Q21)</f>
        <v>1470549.8572929229</v>
      </c>
      <c r="R23" s="513">
        <f t="shared" si="12"/>
        <v>24000</v>
      </c>
      <c r="S23" s="513">
        <f t="shared" si="12"/>
        <v>1502338.2539397569</v>
      </c>
      <c r="T23" s="513">
        <f t="shared" si="12"/>
        <v>1526338.2539397569</v>
      </c>
      <c r="U23" s="513">
        <f t="shared" si="2"/>
        <v>2996888.1112326798</v>
      </c>
      <c r="V23" s="513">
        <f>SUM(V7:V21)</f>
        <v>4492052.0760452012</v>
      </c>
      <c r="W23" s="723">
        <f>SUM(W7:W21)</f>
        <v>3650597.0695174001</v>
      </c>
      <c r="X23" s="513"/>
      <c r="Y23" s="726"/>
      <c r="Z23" s="727">
        <f>SUM(Z7:Z21)</f>
        <v>3031888.1112326798</v>
      </c>
      <c r="AA23" s="516">
        <f>SUM(AA7:AA21)</f>
        <v>4300550.0729665654</v>
      </c>
    </row>
    <row r="24" spans="1:27">
      <c r="A24" s="201">
        <f t="shared" si="4"/>
        <v>585</v>
      </c>
      <c r="L24" s="464"/>
      <c r="M24" s="464"/>
      <c r="N24" s="464">
        <f t="shared" si="0"/>
        <v>0</v>
      </c>
      <c r="O24" s="717"/>
      <c r="P24" s="464">
        <f t="shared" si="1"/>
        <v>0</v>
      </c>
      <c r="Q24" s="466"/>
      <c r="R24" s="466"/>
      <c r="S24" s="466"/>
      <c r="T24" s="466"/>
      <c r="U24" s="466">
        <f t="shared" si="2"/>
        <v>0</v>
      </c>
      <c r="V24" s="466"/>
      <c r="X24" s="466"/>
      <c r="Y24" s="467"/>
      <c r="AA24" s="718"/>
    </row>
    <row r="25" spans="1:27">
      <c r="A25" s="201">
        <f t="shared" si="4"/>
        <v>586</v>
      </c>
      <c r="B25" s="461" t="s">
        <v>971</v>
      </c>
      <c r="L25" s="464"/>
      <c r="M25" s="464"/>
      <c r="N25" s="464">
        <f t="shared" si="0"/>
        <v>0</v>
      </c>
      <c r="O25" s="717"/>
      <c r="P25" s="464">
        <f t="shared" si="1"/>
        <v>0</v>
      </c>
      <c r="Q25" s="466"/>
      <c r="R25" s="466"/>
      <c r="S25" s="466"/>
      <c r="T25" s="466"/>
      <c r="U25" s="466">
        <f t="shared" si="2"/>
        <v>0</v>
      </c>
      <c r="V25" s="466"/>
      <c r="X25" s="466"/>
      <c r="Y25" s="467"/>
      <c r="AA25" s="718"/>
    </row>
    <row r="26" spans="1:27">
      <c r="A26" s="201">
        <f t="shared" si="4"/>
        <v>587</v>
      </c>
      <c r="B26" s="461" t="s">
        <v>972</v>
      </c>
      <c r="L26" s="464"/>
      <c r="M26" s="464"/>
      <c r="N26" s="464">
        <f t="shared" si="0"/>
        <v>0</v>
      </c>
      <c r="O26" s="717"/>
      <c r="P26" s="464">
        <f t="shared" si="1"/>
        <v>0</v>
      </c>
      <c r="Q26" s="466"/>
      <c r="R26" s="466"/>
      <c r="S26" s="466"/>
      <c r="T26" s="66">
        <f t="shared" ref="T26:T32" si="13">R26+S26</f>
        <v>0</v>
      </c>
      <c r="U26" s="205">
        <f t="shared" si="2"/>
        <v>0</v>
      </c>
      <c r="V26" s="205"/>
      <c r="X26" s="205"/>
      <c r="Y26" s="467"/>
      <c r="Z26" s="257">
        <v>0</v>
      </c>
      <c r="AA26" s="245"/>
    </row>
    <row r="27" spans="1:27" ht="24.4" customHeight="1">
      <c r="A27" s="201">
        <f t="shared" si="4"/>
        <v>588</v>
      </c>
      <c r="B27" s="446" t="s">
        <v>443</v>
      </c>
      <c r="D27" s="89">
        <v>6181.8</v>
      </c>
      <c r="E27" s="227">
        <v>1272</v>
      </c>
      <c r="F27" s="227" t="e">
        <f>#REF!*1.03</f>
        <v>#REF!</v>
      </c>
      <c r="G27" s="227">
        <v>1000</v>
      </c>
      <c r="H27" s="228" t="s">
        <v>177</v>
      </c>
      <c r="I27" s="227">
        <v>2000</v>
      </c>
      <c r="J27" s="227">
        <v>1000</v>
      </c>
      <c r="K27" s="227">
        <f>J27</f>
        <v>1000</v>
      </c>
      <c r="L27" s="229">
        <v>4000</v>
      </c>
      <c r="M27" s="229">
        <v>1000</v>
      </c>
      <c r="N27" s="229">
        <f t="shared" si="0"/>
        <v>5000</v>
      </c>
      <c r="O27" s="717"/>
      <c r="P27" s="229">
        <f t="shared" si="1"/>
        <v>5000</v>
      </c>
      <c r="Q27" s="728">
        <v>1200</v>
      </c>
      <c r="R27" s="466">
        <v>4000</v>
      </c>
      <c r="S27" s="66">
        <v>1200</v>
      </c>
      <c r="T27" s="66">
        <f t="shared" si="13"/>
        <v>5200</v>
      </c>
      <c r="U27" s="205">
        <f t="shared" si="2"/>
        <v>6400</v>
      </c>
      <c r="V27" s="205">
        <f t="shared" ref="V27:V53" si="14">U27+P27</f>
        <v>11400</v>
      </c>
      <c r="W27" s="227">
        <f t="shared" ref="W27:W32" si="15">E27+G27+K27</f>
        <v>3272</v>
      </c>
      <c r="X27" s="205"/>
      <c r="Y27" s="467"/>
      <c r="Z27" s="231">
        <v>6400</v>
      </c>
      <c r="AA27" s="245">
        <v>6181.8</v>
      </c>
    </row>
    <row r="28" spans="1:27" ht="27.95" customHeight="1">
      <c r="A28" s="201">
        <f t="shared" si="4"/>
        <v>589</v>
      </c>
      <c r="B28" s="446" t="s">
        <v>973</v>
      </c>
      <c r="D28" s="89">
        <v>525000</v>
      </c>
      <c r="E28" s="227">
        <v>156370</v>
      </c>
      <c r="F28" s="227">
        <v>185000</v>
      </c>
      <c r="G28" s="227">
        <v>185000</v>
      </c>
      <c r="H28" s="228"/>
      <c r="I28" s="227"/>
      <c r="J28" s="227">
        <v>190000</v>
      </c>
      <c r="K28" s="227">
        <f t="shared" ref="K28:K31" si="16">J28</f>
        <v>190000</v>
      </c>
      <c r="L28" s="229"/>
      <c r="M28" s="229">
        <v>210000</v>
      </c>
      <c r="N28" s="229">
        <f t="shared" si="0"/>
        <v>210000</v>
      </c>
      <c r="O28" s="717" t="s">
        <v>974</v>
      </c>
      <c r="P28" s="229">
        <f t="shared" si="1"/>
        <v>210000</v>
      </c>
      <c r="Q28" s="728">
        <v>220000</v>
      </c>
      <c r="R28" s="466"/>
      <c r="S28" s="66">
        <v>220000</v>
      </c>
      <c r="T28" s="66">
        <f t="shared" si="13"/>
        <v>220000</v>
      </c>
      <c r="U28" s="205">
        <f t="shared" si="2"/>
        <v>440000</v>
      </c>
      <c r="V28" s="205">
        <f t="shared" si="14"/>
        <v>650000</v>
      </c>
      <c r="W28" s="227">
        <f t="shared" si="15"/>
        <v>531370</v>
      </c>
      <c r="X28" s="205"/>
      <c r="Y28" s="467" t="s">
        <v>974</v>
      </c>
      <c r="Z28" s="231">
        <v>440000</v>
      </c>
      <c r="AA28" s="245">
        <v>525000</v>
      </c>
    </row>
    <row r="29" spans="1:27">
      <c r="A29" s="201">
        <f t="shared" si="4"/>
        <v>590</v>
      </c>
      <c r="B29" s="446" t="s">
        <v>975</v>
      </c>
      <c r="D29" s="89">
        <v>170000</v>
      </c>
      <c r="E29" s="227">
        <v>40496</v>
      </c>
      <c r="F29" s="227">
        <v>57000</v>
      </c>
      <c r="G29" s="227">
        <v>57000</v>
      </c>
      <c r="H29" s="228"/>
      <c r="I29" s="227"/>
      <c r="J29" s="227">
        <v>58000</v>
      </c>
      <c r="K29" s="227">
        <f t="shared" si="16"/>
        <v>58000</v>
      </c>
      <c r="L29" s="229"/>
      <c r="M29" s="229">
        <v>60000</v>
      </c>
      <c r="N29" s="229">
        <f t="shared" si="0"/>
        <v>60000</v>
      </c>
      <c r="O29" s="717"/>
      <c r="P29" s="229">
        <f t="shared" si="1"/>
        <v>60000</v>
      </c>
      <c r="Q29" s="728">
        <v>65000</v>
      </c>
      <c r="R29" s="466"/>
      <c r="S29" s="66">
        <v>65000</v>
      </c>
      <c r="T29" s="66">
        <f t="shared" si="13"/>
        <v>65000</v>
      </c>
      <c r="U29" s="205">
        <f t="shared" si="2"/>
        <v>130000</v>
      </c>
      <c r="V29" s="205">
        <f t="shared" si="14"/>
        <v>190000</v>
      </c>
      <c r="W29" s="227">
        <f t="shared" si="15"/>
        <v>155496</v>
      </c>
      <c r="X29" s="205"/>
      <c r="Y29" s="467"/>
      <c r="Z29" s="231">
        <v>130000</v>
      </c>
      <c r="AA29" s="245">
        <v>170000</v>
      </c>
    </row>
    <row r="30" spans="1:27">
      <c r="A30" s="201">
        <f t="shared" si="4"/>
        <v>591</v>
      </c>
      <c r="B30" s="446" t="s">
        <v>554</v>
      </c>
      <c r="D30" s="89">
        <v>75000</v>
      </c>
      <c r="E30" s="227">
        <v>12911</v>
      </c>
      <c r="F30" s="227">
        <v>25000</v>
      </c>
      <c r="G30" s="227">
        <v>25000</v>
      </c>
      <c r="H30" s="228"/>
      <c r="I30" s="227"/>
      <c r="J30" s="227">
        <v>25000</v>
      </c>
      <c r="K30" s="227">
        <f t="shared" si="16"/>
        <v>25000</v>
      </c>
      <c r="L30" s="229"/>
      <c r="M30" s="229">
        <v>25000</v>
      </c>
      <c r="N30" s="229">
        <f t="shared" si="0"/>
        <v>25000</v>
      </c>
      <c r="O30" s="717"/>
      <c r="P30" s="229">
        <f t="shared" si="1"/>
        <v>25000</v>
      </c>
      <c r="Q30" s="729">
        <v>23000</v>
      </c>
      <c r="R30" s="721"/>
      <c r="S30" s="520">
        <v>23000</v>
      </c>
      <c r="T30" s="66">
        <f t="shared" si="13"/>
        <v>23000</v>
      </c>
      <c r="U30" s="205">
        <f t="shared" si="2"/>
        <v>46000</v>
      </c>
      <c r="V30" s="205">
        <f t="shared" si="14"/>
        <v>71000</v>
      </c>
      <c r="W30" s="227">
        <f t="shared" si="15"/>
        <v>62911</v>
      </c>
      <c r="X30" s="205"/>
      <c r="Y30" s="467"/>
      <c r="Z30" s="231">
        <v>50000</v>
      </c>
      <c r="AA30" s="245">
        <v>75000</v>
      </c>
    </row>
    <row r="31" spans="1:27">
      <c r="A31" s="201">
        <f t="shared" si="4"/>
        <v>592</v>
      </c>
      <c r="B31" s="446" t="s">
        <v>976</v>
      </c>
      <c r="D31" s="89">
        <v>70000</v>
      </c>
      <c r="E31" s="227">
        <v>33555</v>
      </c>
      <c r="F31" s="227">
        <v>23000</v>
      </c>
      <c r="G31" s="227">
        <v>23000</v>
      </c>
      <c r="H31" s="228"/>
      <c r="I31" s="227"/>
      <c r="J31" s="227">
        <v>22000</v>
      </c>
      <c r="K31" s="227">
        <f t="shared" si="16"/>
        <v>22000</v>
      </c>
      <c r="L31" s="229"/>
      <c r="M31" s="229">
        <v>22000</v>
      </c>
      <c r="N31" s="229">
        <f t="shared" si="0"/>
        <v>22000</v>
      </c>
      <c r="O31" s="717"/>
      <c r="P31" s="229">
        <f t="shared" si="1"/>
        <v>22000</v>
      </c>
      <c r="Q31" s="728">
        <v>23000</v>
      </c>
      <c r="R31" s="466"/>
      <c r="S31" s="66">
        <v>23000</v>
      </c>
      <c r="T31" s="66">
        <f t="shared" si="13"/>
        <v>23000</v>
      </c>
      <c r="U31" s="205">
        <f t="shared" si="2"/>
        <v>46000</v>
      </c>
      <c r="V31" s="205">
        <f t="shared" si="14"/>
        <v>68000</v>
      </c>
      <c r="W31" s="227">
        <f t="shared" si="15"/>
        <v>78555</v>
      </c>
      <c r="X31" s="205"/>
      <c r="Y31" s="467" t="s">
        <v>977</v>
      </c>
      <c r="Z31" s="231">
        <v>46000</v>
      </c>
      <c r="AA31" s="245">
        <v>70000</v>
      </c>
    </row>
    <row r="32" spans="1:27">
      <c r="A32" s="201" t="s">
        <v>978</v>
      </c>
      <c r="B32" s="446" t="s">
        <v>919</v>
      </c>
      <c r="E32" s="227"/>
      <c r="F32" s="227"/>
      <c r="G32" s="227"/>
      <c r="H32" s="228"/>
      <c r="I32" s="227"/>
      <c r="J32" s="227"/>
      <c r="K32" s="227">
        <f>I33</f>
        <v>2000</v>
      </c>
      <c r="L32" s="229"/>
      <c r="M32" s="229"/>
      <c r="N32" s="229">
        <f t="shared" si="0"/>
        <v>0</v>
      </c>
      <c r="O32" s="717"/>
      <c r="P32" s="229">
        <f t="shared" si="1"/>
        <v>0</v>
      </c>
      <c r="Q32" s="466"/>
      <c r="R32" s="466"/>
      <c r="S32" s="66"/>
      <c r="T32" s="66">
        <f t="shared" si="13"/>
        <v>0</v>
      </c>
      <c r="U32" s="205">
        <f t="shared" si="2"/>
        <v>0</v>
      </c>
      <c r="V32" s="205">
        <f t="shared" si="14"/>
        <v>0</v>
      </c>
      <c r="W32" s="227">
        <f t="shared" si="15"/>
        <v>2000</v>
      </c>
      <c r="X32" s="205"/>
      <c r="Y32" s="467"/>
      <c r="Z32" s="231">
        <v>0</v>
      </c>
      <c r="AA32" s="245"/>
    </row>
    <row r="33" spans="1:27" s="731" customFormat="1">
      <c r="A33" s="730">
        <f>A31+1</f>
        <v>593</v>
      </c>
      <c r="B33" s="731" t="s">
        <v>979</v>
      </c>
      <c r="C33" s="732">
        <v>760000</v>
      </c>
      <c r="D33" s="733">
        <f t="shared" ref="D33:G33" si="17">SUM(D27:D31)</f>
        <v>846181.8</v>
      </c>
      <c r="E33" s="733">
        <f t="shared" si="17"/>
        <v>244604</v>
      </c>
      <c r="F33" s="733" t="e">
        <f t="shared" si="17"/>
        <v>#REF!</v>
      </c>
      <c r="G33" s="733">
        <f t="shared" si="17"/>
        <v>291000</v>
      </c>
      <c r="H33" s="734"/>
      <c r="I33" s="733">
        <f t="shared" ref="I33:J33" si="18">SUM(I27:I31)</f>
        <v>2000</v>
      </c>
      <c r="J33" s="733">
        <f t="shared" si="18"/>
        <v>296000</v>
      </c>
      <c r="K33" s="733">
        <f>SUM(K27:K32)</f>
        <v>298000</v>
      </c>
      <c r="L33" s="735">
        <f t="shared" ref="L33:N33" si="19">SUM(L27:L31)</f>
        <v>4000</v>
      </c>
      <c r="M33" s="735">
        <f t="shared" si="19"/>
        <v>318000</v>
      </c>
      <c r="N33" s="735">
        <f t="shared" si="19"/>
        <v>322000</v>
      </c>
      <c r="O33" s="736"/>
      <c r="P33" s="735">
        <f>SUM(P27:P31)</f>
        <v>322000</v>
      </c>
      <c r="Q33" s="737">
        <f>SUM(Q27:Q31)</f>
        <v>332200</v>
      </c>
      <c r="R33" s="737">
        <f t="shared" ref="R33:V33" si="20">SUM(R27:R31)</f>
        <v>4000</v>
      </c>
      <c r="S33" s="737">
        <f t="shared" si="20"/>
        <v>332200</v>
      </c>
      <c r="T33" s="737">
        <f t="shared" si="20"/>
        <v>336200</v>
      </c>
      <c r="U33" s="737">
        <f t="shared" si="2"/>
        <v>668400</v>
      </c>
      <c r="V33" s="737">
        <f t="shared" si="20"/>
        <v>990400</v>
      </c>
      <c r="W33" s="733">
        <f>SUM(W27:W32)</f>
        <v>833604</v>
      </c>
      <c r="X33" s="737"/>
      <c r="Y33" s="738"/>
      <c r="Z33" s="739">
        <v>672400</v>
      </c>
      <c r="AA33" s="740">
        <f>SUM(AA27:AA31)</f>
        <v>846181.8</v>
      </c>
    </row>
    <row r="34" spans="1:27">
      <c r="A34" s="201">
        <f t="shared" si="4"/>
        <v>594</v>
      </c>
      <c r="E34" s="227"/>
      <c r="F34" s="227"/>
      <c r="G34" s="227"/>
      <c r="H34" s="228"/>
      <c r="I34" s="227"/>
      <c r="J34" s="227"/>
      <c r="K34" s="227"/>
      <c r="L34" s="229"/>
      <c r="M34" s="229"/>
      <c r="N34" s="229">
        <f t="shared" si="0"/>
        <v>0</v>
      </c>
      <c r="O34" s="717"/>
      <c r="P34" s="229">
        <f t="shared" si="1"/>
        <v>0</v>
      </c>
      <c r="Q34" s="466"/>
      <c r="R34" s="466"/>
      <c r="S34" s="466"/>
      <c r="T34" s="466"/>
      <c r="U34" s="466">
        <f t="shared" si="2"/>
        <v>0</v>
      </c>
      <c r="V34" s="466">
        <f t="shared" si="14"/>
        <v>0</v>
      </c>
      <c r="W34" s="227"/>
      <c r="X34" s="466"/>
      <c r="Y34" s="467"/>
      <c r="Z34" s="231"/>
      <c r="AA34" s="718"/>
    </row>
    <row r="35" spans="1:27">
      <c r="A35" s="201">
        <f t="shared" si="4"/>
        <v>595</v>
      </c>
      <c r="B35" s="461" t="s">
        <v>980</v>
      </c>
      <c r="L35" s="464"/>
      <c r="M35" s="464"/>
      <c r="N35" s="464">
        <f t="shared" si="0"/>
        <v>0</v>
      </c>
      <c r="O35" s="717"/>
      <c r="P35" s="464">
        <f t="shared" si="1"/>
        <v>0</v>
      </c>
      <c r="Q35" s="466"/>
      <c r="R35" s="466"/>
      <c r="S35" s="466"/>
      <c r="T35" s="66">
        <f t="shared" ref="T35:T44" si="21">R35+S35</f>
        <v>0</v>
      </c>
      <c r="U35" s="205">
        <f t="shared" si="2"/>
        <v>0</v>
      </c>
      <c r="V35" s="205">
        <f t="shared" si="14"/>
        <v>0</v>
      </c>
      <c r="X35" s="205"/>
      <c r="Y35" s="467"/>
      <c r="Z35" s="257">
        <v>0</v>
      </c>
      <c r="AA35" s="245"/>
    </row>
    <row r="36" spans="1:27" ht="21" customHeight="1">
      <c r="A36" s="201">
        <f t="shared" si="4"/>
        <v>596</v>
      </c>
      <c r="B36" s="446" t="s">
        <v>443</v>
      </c>
      <c r="D36" s="89">
        <v>67000</v>
      </c>
      <c r="E36" s="227">
        <v>10048</v>
      </c>
      <c r="F36" s="227">
        <v>20000</v>
      </c>
      <c r="G36" s="227">
        <v>10000</v>
      </c>
      <c r="H36" s="228" t="s">
        <v>177</v>
      </c>
      <c r="I36" s="227">
        <v>12000</v>
      </c>
      <c r="J36" s="227">
        <v>15000</v>
      </c>
      <c r="K36" s="227">
        <f>J36</f>
        <v>15000</v>
      </c>
      <c r="L36" s="229">
        <v>12000</v>
      </c>
      <c r="M36" s="229">
        <v>4000</v>
      </c>
      <c r="N36" s="229">
        <f t="shared" si="0"/>
        <v>16000</v>
      </c>
      <c r="O36" s="717"/>
      <c r="P36" s="229">
        <f t="shared" si="1"/>
        <v>16000</v>
      </c>
      <c r="Q36" s="719">
        <v>6000</v>
      </c>
      <c r="R36" s="466">
        <v>14000</v>
      </c>
      <c r="S36" s="140">
        <v>6000</v>
      </c>
      <c r="T36" s="66">
        <f t="shared" si="21"/>
        <v>20000</v>
      </c>
      <c r="U36" s="205">
        <f t="shared" si="2"/>
        <v>26000</v>
      </c>
      <c r="V36" s="205">
        <f t="shared" si="14"/>
        <v>42000</v>
      </c>
      <c r="W36" s="227">
        <f t="shared" ref="W36:W44" si="22">E36+G36+K36</f>
        <v>35048</v>
      </c>
      <c r="X36" s="205"/>
      <c r="Y36" s="467"/>
      <c r="Z36" s="231">
        <v>26000</v>
      </c>
      <c r="AA36" s="245">
        <v>67000</v>
      </c>
    </row>
    <row r="37" spans="1:27" ht="42.4" customHeight="1">
      <c r="A37" s="201">
        <f t="shared" si="4"/>
        <v>597</v>
      </c>
      <c r="B37" s="446" t="s">
        <v>981</v>
      </c>
      <c r="D37" s="89">
        <v>930000</v>
      </c>
      <c r="E37" s="227">
        <f>319845+38167</f>
        <v>358012</v>
      </c>
      <c r="F37" s="227" t="e">
        <f>#REF!</f>
        <v>#REF!</v>
      </c>
      <c r="G37" s="227">
        <v>350000</v>
      </c>
      <c r="H37" s="228"/>
      <c r="I37" s="227"/>
      <c r="J37" s="227">
        <v>350000</v>
      </c>
      <c r="K37" s="227">
        <f t="shared" ref="K37:K43" si="23">J37</f>
        <v>350000</v>
      </c>
      <c r="L37" s="229"/>
      <c r="M37" s="229">
        <v>360000</v>
      </c>
      <c r="N37" s="229">
        <f t="shared" si="0"/>
        <v>360000</v>
      </c>
      <c r="O37" s="717" t="s">
        <v>982</v>
      </c>
      <c r="P37" s="229">
        <f t="shared" si="1"/>
        <v>360000</v>
      </c>
      <c r="Q37" s="466">
        <v>370000</v>
      </c>
      <c r="R37" s="466"/>
      <c r="S37" s="66">
        <v>380000</v>
      </c>
      <c r="T37" s="66">
        <f t="shared" si="21"/>
        <v>380000</v>
      </c>
      <c r="U37" s="205">
        <f t="shared" si="2"/>
        <v>750000</v>
      </c>
      <c r="V37" s="205">
        <f t="shared" si="14"/>
        <v>1110000</v>
      </c>
      <c r="W37" s="227">
        <f t="shared" si="22"/>
        <v>1058012</v>
      </c>
      <c r="X37" s="205"/>
      <c r="Y37" s="467" t="s">
        <v>982</v>
      </c>
      <c r="Z37" s="231">
        <v>750000</v>
      </c>
      <c r="AA37" s="245">
        <v>930000</v>
      </c>
    </row>
    <row r="38" spans="1:27" ht="38.75" customHeight="1">
      <c r="A38" s="201">
        <f t="shared" si="4"/>
        <v>598</v>
      </c>
      <c r="B38" s="446" t="s">
        <v>983</v>
      </c>
      <c r="D38" s="89">
        <v>123000</v>
      </c>
      <c r="E38" s="227"/>
      <c r="F38" s="227">
        <v>80000</v>
      </c>
      <c r="G38" s="227">
        <v>80000</v>
      </c>
      <c r="H38" s="228"/>
      <c r="I38" s="227"/>
      <c r="J38" s="227">
        <v>90000</v>
      </c>
      <c r="K38" s="227">
        <f t="shared" si="23"/>
        <v>90000</v>
      </c>
      <c r="L38" s="229"/>
      <c r="M38" s="229">
        <v>120000</v>
      </c>
      <c r="N38" s="229">
        <f t="shared" si="0"/>
        <v>120000</v>
      </c>
      <c r="O38" s="717" t="s">
        <v>984</v>
      </c>
      <c r="P38" s="229">
        <f t="shared" si="1"/>
        <v>120000</v>
      </c>
      <c r="Q38" s="466">
        <v>120000</v>
      </c>
      <c r="R38" s="466"/>
      <c r="S38" s="66">
        <v>120000</v>
      </c>
      <c r="T38" s="66">
        <f t="shared" si="21"/>
        <v>120000</v>
      </c>
      <c r="U38" s="205">
        <f t="shared" si="2"/>
        <v>240000</v>
      </c>
      <c r="V38" s="205">
        <f t="shared" si="14"/>
        <v>360000</v>
      </c>
      <c r="W38" s="227">
        <f t="shared" si="22"/>
        <v>170000</v>
      </c>
      <c r="X38" s="205"/>
      <c r="Y38" s="467" t="s">
        <v>984</v>
      </c>
      <c r="Z38" s="231">
        <v>240000</v>
      </c>
      <c r="AA38" s="245">
        <v>123000</v>
      </c>
    </row>
    <row r="39" spans="1:27">
      <c r="A39" s="201" t="s">
        <v>985</v>
      </c>
      <c r="B39" s="446" t="s">
        <v>986</v>
      </c>
      <c r="D39" s="89">
        <v>27000</v>
      </c>
      <c r="E39" s="227">
        <v>161</v>
      </c>
      <c r="F39" s="227">
        <v>9000</v>
      </c>
      <c r="G39" s="227">
        <v>9000</v>
      </c>
      <c r="H39" s="228"/>
      <c r="I39" s="227"/>
      <c r="J39" s="227">
        <v>10000</v>
      </c>
      <c r="K39" s="227">
        <f t="shared" si="23"/>
        <v>10000</v>
      </c>
      <c r="L39" s="229"/>
      <c r="M39" s="229">
        <v>10000</v>
      </c>
      <c r="N39" s="229">
        <f t="shared" si="0"/>
        <v>10000</v>
      </c>
      <c r="O39" s="717"/>
      <c r="P39" s="229">
        <f t="shared" si="1"/>
        <v>10000</v>
      </c>
      <c r="Q39" s="466">
        <v>11000</v>
      </c>
      <c r="R39" s="466"/>
      <c r="S39" s="66">
        <v>10000</v>
      </c>
      <c r="T39" s="66">
        <f t="shared" si="21"/>
        <v>10000</v>
      </c>
      <c r="U39" s="205">
        <f t="shared" si="2"/>
        <v>21000</v>
      </c>
      <c r="V39" s="205">
        <f t="shared" si="14"/>
        <v>31000</v>
      </c>
      <c r="W39" s="227">
        <f t="shared" si="22"/>
        <v>19161</v>
      </c>
      <c r="X39" s="205"/>
      <c r="Y39" s="467"/>
      <c r="Z39" s="231">
        <v>21000</v>
      </c>
      <c r="AA39" s="245">
        <v>27000</v>
      </c>
    </row>
    <row r="40" spans="1:27" ht="21.4" customHeight="1">
      <c r="A40" s="201" t="s">
        <v>987</v>
      </c>
      <c r="B40" s="446" t="s">
        <v>554</v>
      </c>
      <c r="D40" s="89">
        <v>0</v>
      </c>
      <c r="E40" s="227">
        <v>46583</v>
      </c>
      <c r="F40" s="227" t="e">
        <f>#REF!</f>
        <v>#REF!</v>
      </c>
      <c r="G40" s="227">
        <v>10000</v>
      </c>
      <c r="H40" s="228" t="s">
        <v>988</v>
      </c>
      <c r="I40" s="227"/>
      <c r="J40" s="227">
        <v>15000</v>
      </c>
      <c r="K40" s="227">
        <f t="shared" si="23"/>
        <v>15000</v>
      </c>
      <c r="L40" s="229"/>
      <c r="M40" s="229">
        <v>15000</v>
      </c>
      <c r="N40" s="229">
        <f t="shared" si="0"/>
        <v>15000</v>
      </c>
      <c r="O40" s="717" t="s">
        <v>989</v>
      </c>
      <c r="P40" s="229">
        <f t="shared" si="1"/>
        <v>15000</v>
      </c>
      <c r="Q40" s="466">
        <v>15000</v>
      </c>
      <c r="R40" s="466"/>
      <c r="S40" s="66">
        <v>15000</v>
      </c>
      <c r="T40" s="66">
        <f t="shared" si="21"/>
        <v>15000</v>
      </c>
      <c r="U40" s="205">
        <f t="shared" si="2"/>
        <v>30000</v>
      </c>
      <c r="V40" s="205">
        <f t="shared" si="14"/>
        <v>45000</v>
      </c>
      <c r="W40" s="227">
        <f t="shared" si="22"/>
        <v>71583</v>
      </c>
      <c r="X40" s="205"/>
      <c r="Y40" s="467" t="s">
        <v>989</v>
      </c>
      <c r="Z40" s="231">
        <v>30000</v>
      </c>
      <c r="AA40" s="245"/>
    </row>
    <row r="41" spans="1:27">
      <c r="A41" s="201">
        <v>600</v>
      </c>
      <c r="B41" s="446" t="s">
        <v>990</v>
      </c>
      <c r="D41" s="89">
        <v>20000</v>
      </c>
      <c r="E41" s="227">
        <v>4838</v>
      </c>
      <c r="F41" s="227">
        <v>7500</v>
      </c>
      <c r="G41" s="227">
        <v>7500</v>
      </c>
      <c r="H41" s="228"/>
      <c r="I41" s="227"/>
      <c r="J41" s="227">
        <v>7500</v>
      </c>
      <c r="K41" s="227">
        <f t="shared" si="23"/>
        <v>7500</v>
      </c>
      <c r="L41" s="229"/>
      <c r="M41" s="229">
        <v>8000</v>
      </c>
      <c r="N41" s="229">
        <f t="shared" si="0"/>
        <v>8000</v>
      </c>
      <c r="O41" s="717"/>
      <c r="P41" s="229">
        <f t="shared" si="1"/>
        <v>8000</v>
      </c>
      <c r="Q41" s="466">
        <v>8000</v>
      </c>
      <c r="R41" s="466"/>
      <c r="S41" s="66">
        <v>8000</v>
      </c>
      <c r="T41" s="66">
        <f t="shared" si="21"/>
        <v>8000</v>
      </c>
      <c r="U41" s="205">
        <f t="shared" si="2"/>
        <v>16000</v>
      </c>
      <c r="V41" s="205">
        <f t="shared" si="14"/>
        <v>24000</v>
      </c>
      <c r="W41" s="227">
        <f t="shared" si="22"/>
        <v>19838</v>
      </c>
      <c r="X41" s="205"/>
      <c r="Y41" s="467"/>
      <c r="Z41" s="231">
        <v>16000</v>
      </c>
      <c r="AA41" s="245">
        <v>22500</v>
      </c>
    </row>
    <row r="42" spans="1:27">
      <c r="A42" s="201">
        <f t="shared" si="4"/>
        <v>601</v>
      </c>
      <c r="B42" s="446" t="s">
        <v>991</v>
      </c>
      <c r="D42" s="89">
        <v>30000</v>
      </c>
      <c r="E42" s="227">
        <f>494503-499565</f>
        <v>-5062</v>
      </c>
      <c r="F42" s="227">
        <v>11000</v>
      </c>
      <c r="G42" s="227">
        <v>11000</v>
      </c>
      <c r="H42" s="228"/>
      <c r="I42" s="227"/>
      <c r="J42" s="227">
        <v>10000</v>
      </c>
      <c r="K42" s="227">
        <f t="shared" si="23"/>
        <v>10000</v>
      </c>
      <c r="L42" s="229"/>
      <c r="M42" s="229">
        <v>10000</v>
      </c>
      <c r="N42" s="229">
        <f t="shared" si="0"/>
        <v>10000</v>
      </c>
      <c r="O42" s="717"/>
      <c r="P42" s="229">
        <f t="shared" si="1"/>
        <v>10000</v>
      </c>
      <c r="Q42" s="466">
        <v>10000</v>
      </c>
      <c r="R42" s="466"/>
      <c r="S42" s="66">
        <v>10000</v>
      </c>
      <c r="T42" s="66">
        <f t="shared" si="21"/>
        <v>10000</v>
      </c>
      <c r="U42" s="205">
        <f t="shared" si="2"/>
        <v>20000</v>
      </c>
      <c r="V42" s="205">
        <f t="shared" si="14"/>
        <v>30000</v>
      </c>
      <c r="W42" s="227">
        <f t="shared" si="22"/>
        <v>15938</v>
      </c>
      <c r="X42" s="205"/>
      <c r="Y42" s="467"/>
      <c r="Z42" s="231">
        <v>20000</v>
      </c>
      <c r="AA42" s="245">
        <v>33000</v>
      </c>
    </row>
    <row r="43" spans="1:27" ht="31.5">
      <c r="A43" s="201">
        <f t="shared" si="4"/>
        <v>602</v>
      </c>
      <c r="B43" s="446" t="s">
        <v>992</v>
      </c>
      <c r="D43" s="89">
        <v>120000</v>
      </c>
      <c r="E43" s="227">
        <f>77392+2531</f>
        <v>79923</v>
      </c>
      <c r="F43" s="227" t="e">
        <f>#REF!</f>
        <v>#REF!</v>
      </c>
      <c r="G43" s="227">
        <v>65000</v>
      </c>
      <c r="H43" s="228"/>
      <c r="I43" s="227"/>
      <c r="J43" s="227">
        <v>65000</v>
      </c>
      <c r="K43" s="227">
        <f t="shared" si="23"/>
        <v>65000</v>
      </c>
      <c r="L43" s="229"/>
      <c r="M43" s="229">
        <v>78000</v>
      </c>
      <c r="N43" s="229">
        <f t="shared" si="0"/>
        <v>78000</v>
      </c>
      <c r="O43" s="717" t="s">
        <v>993</v>
      </c>
      <c r="P43" s="229">
        <f t="shared" si="1"/>
        <v>78000</v>
      </c>
      <c r="Q43" s="466">
        <v>78000</v>
      </c>
      <c r="R43" s="466"/>
      <c r="S43" s="466">
        <v>78000</v>
      </c>
      <c r="T43" s="66">
        <f t="shared" si="21"/>
        <v>78000</v>
      </c>
      <c r="U43" s="205">
        <f t="shared" si="2"/>
        <v>156000</v>
      </c>
      <c r="V43" s="205">
        <f t="shared" si="14"/>
        <v>234000</v>
      </c>
      <c r="W43" s="227">
        <f t="shared" si="22"/>
        <v>209923</v>
      </c>
      <c r="X43" s="205"/>
      <c r="Y43" s="467" t="s">
        <v>993</v>
      </c>
      <c r="Z43" s="231">
        <v>142000</v>
      </c>
      <c r="AA43" s="245">
        <v>120000</v>
      </c>
    </row>
    <row r="44" spans="1:27">
      <c r="A44" s="201" t="s">
        <v>429</v>
      </c>
      <c r="B44" s="446" t="s">
        <v>919</v>
      </c>
      <c r="E44" s="227"/>
      <c r="F44" s="227"/>
      <c r="G44" s="227"/>
      <c r="H44" s="228"/>
      <c r="I44" s="227"/>
      <c r="J44" s="227"/>
      <c r="K44" s="227">
        <f>I45</f>
        <v>12000</v>
      </c>
      <c r="L44" s="229"/>
      <c r="M44" s="229"/>
      <c r="N44" s="229">
        <f t="shared" si="0"/>
        <v>0</v>
      </c>
      <c r="O44" s="717"/>
      <c r="P44" s="229">
        <f t="shared" si="1"/>
        <v>0</v>
      </c>
      <c r="Q44" s="466"/>
      <c r="R44" s="466"/>
      <c r="S44" s="66"/>
      <c r="T44" s="66">
        <f t="shared" si="21"/>
        <v>0</v>
      </c>
      <c r="U44" s="205">
        <f t="shared" si="2"/>
        <v>0</v>
      </c>
      <c r="V44" s="205">
        <f t="shared" si="14"/>
        <v>0</v>
      </c>
      <c r="W44" s="227">
        <f t="shared" si="22"/>
        <v>12000</v>
      </c>
      <c r="X44" s="205"/>
      <c r="Y44" s="467"/>
      <c r="Z44" s="231">
        <v>0</v>
      </c>
      <c r="AA44" s="245"/>
    </row>
    <row r="45" spans="1:27" s="731" customFormat="1" ht="40.9" customHeight="1">
      <c r="A45" s="730">
        <f>A43+1</f>
        <v>603</v>
      </c>
      <c r="B45" s="731" t="s">
        <v>994</v>
      </c>
      <c r="C45" s="732">
        <v>1172000</v>
      </c>
      <c r="D45" s="733">
        <f t="shared" ref="D45:J45" si="24">SUM(D36:D43)</f>
        <v>1317000</v>
      </c>
      <c r="E45" s="733">
        <f t="shared" si="24"/>
        <v>494503</v>
      </c>
      <c r="F45" s="733" t="e">
        <f t="shared" si="24"/>
        <v>#REF!</v>
      </c>
      <c r="G45" s="733">
        <f t="shared" si="24"/>
        <v>542500</v>
      </c>
      <c r="H45" s="733">
        <f t="shared" si="24"/>
        <v>0</v>
      </c>
      <c r="I45" s="733">
        <f t="shared" si="24"/>
        <v>12000</v>
      </c>
      <c r="J45" s="733">
        <f t="shared" si="24"/>
        <v>562500</v>
      </c>
      <c r="K45" s="733">
        <f>SUM(K36:K44)</f>
        <v>574500</v>
      </c>
      <c r="L45" s="735">
        <f t="shared" ref="L45:N45" si="25">SUM(L36:L43)</f>
        <v>12000</v>
      </c>
      <c r="M45" s="735">
        <f t="shared" si="25"/>
        <v>605000</v>
      </c>
      <c r="N45" s="735">
        <f t="shared" si="25"/>
        <v>617000</v>
      </c>
      <c r="O45" s="736" t="s">
        <v>995</v>
      </c>
      <c r="P45" s="735">
        <f t="shared" si="1"/>
        <v>617000</v>
      </c>
      <c r="Q45" s="737">
        <f>SUM(Q36:Q43)</f>
        <v>618000</v>
      </c>
      <c r="R45" s="737">
        <f t="shared" ref="R45:V45" si="26">SUM(R36:R43)</f>
        <v>14000</v>
      </c>
      <c r="S45" s="737">
        <f t="shared" si="26"/>
        <v>627000</v>
      </c>
      <c r="T45" s="737">
        <f t="shared" si="26"/>
        <v>641000</v>
      </c>
      <c r="U45" s="737">
        <f t="shared" si="2"/>
        <v>1259000</v>
      </c>
      <c r="V45" s="737">
        <f t="shared" si="26"/>
        <v>1876000</v>
      </c>
      <c r="W45" s="733">
        <f>SUM(W36:W44)</f>
        <v>1611503</v>
      </c>
      <c r="X45" s="737"/>
      <c r="Y45" s="738" t="s">
        <v>995</v>
      </c>
      <c r="Z45" s="739">
        <v>1245000</v>
      </c>
      <c r="AA45" s="740">
        <f>SUM(AA36:AA43)</f>
        <v>1322500</v>
      </c>
    </row>
    <row r="46" spans="1:27">
      <c r="A46" s="201">
        <f t="shared" si="4"/>
        <v>604</v>
      </c>
      <c r="D46" s="89">
        <v>0</v>
      </c>
      <c r="E46" s="227"/>
      <c r="F46" s="227"/>
      <c r="G46" s="227"/>
      <c r="H46" s="228"/>
      <c r="I46" s="227"/>
      <c r="J46" s="227"/>
      <c r="K46" s="227"/>
      <c r="L46" s="229"/>
      <c r="M46" s="229"/>
      <c r="N46" s="229">
        <f t="shared" si="0"/>
        <v>0</v>
      </c>
      <c r="O46" s="717"/>
      <c r="P46" s="229">
        <f t="shared" si="1"/>
        <v>0</v>
      </c>
      <c r="Q46" s="466"/>
      <c r="R46" s="466"/>
      <c r="S46" s="466"/>
      <c r="T46" s="466"/>
      <c r="U46" s="466">
        <f t="shared" si="2"/>
        <v>0</v>
      </c>
      <c r="V46" s="466">
        <f t="shared" si="14"/>
        <v>0</v>
      </c>
      <c r="W46" s="227"/>
      <c r="X46" s="466"/>
      <c r="Y46" s="467"/>
      <c r="Z46" s="231"/>
      <c r="AA46" s="718"/>
    </row>
    <row r="47" spans="1:27" ht="52.5" customHeight="1">
      <c r="A47" s="201">
        <f t="shared" si="4"/>
        <v>605</v>
      </c>
      <c r="B47" s="446" t="s">
        <v>996</v>
      </c>
      <c r="C47" s="89">
        <v>7005000</v>
      </c>
      <c r="D47" s="89">
        <v>5725462.5480000004</v>
      </c>
      <c r="E47" s="202">
        <f>1450000+763885</f>
        <v>2213885</v>
      </c>
      <c r="F47" s="202">
        <f>'[4]Rent Debt'!O38</f>
        <v>2192381.1159999999</v>
      </c>
      <c r="G47" s="202">
        <v>2192381.1159999999</v>
      </c>
      <c r="H47" s="203"/>
      <c r="I47" s="202"/>
      <c r="J47" s="202">
        <v>2200000</v>
      </c>
      <c r="K47" s="202">
        <f>J47</f>
        <v>2200000</v>
      </c>
      <c r="L47" s="204"/>
      <c r="M47" s="204">
        <v>1882000</v>
      </c>
      <c r="N47" s="204">
        <f t="shared" si="0"/>
        <v>1882000</v>
      </c>
      <c r="O47" s="717" t="s">
        <v>997</v>
      </c>
      <c r="P47" s="204">
        <f t="shared" si="1"/>
        <v>1882000</v>
      </c>
      <c r="Q47" s="466">
        <v>1857000</v>
      </c>
      <c r="R47" s="466"/>
      <c r="S47" s="66">
        <v>1833000</v>
      </c>
      <c r="T47" s="66">
        <f t="shared" ref="T47:T52" si="27">R47+S47</f>
        <v>1833000</v>
      </c>
      <c r="U47" s="205">
        <f t="shared" si="2"/>
        <v>3690000</v>
      </c>
      <c r="V47" s="205">
        <f t="shared" si="14"/>
        <v>5572000</v>
      </c>
      <c r="W47" s="202">
        <f>E47+G47+K47</f>
        <v>6606266.1160000004</v>
      </c>
      <c r="X47" s="205"/>
      <c r="Y47" s="467" t="s">
        <v>997</v>
      </c>
      <c r="Z47" s="208">
        <v>3690000</v>
      </c>
      <c r="AA47" s="245">
        <v>5725462.5480000004</v>
      </c>
    </row>
    <row r="48" spans="1:27">
      <c r="A48" s="201">
        <f t="shared" si="4"/>
        <v>606</v>
      </c>
      <c r="B48" s="446" t="s">
        <v>998</v>
      </c>
      <c r="C48" s="89">
        <f>'[4]Salary Summary GC Adopted'!Y12</f>
        <v>3031034.7743127919</v>
      </c>
      <c r="D48" s="89">
        <v>2976054.3163891141</v>
      </c>
      <c r="E48" s="89">
        <v>877630</v>
      </c>
      <c r="F48" s="89">
        <f>'[3]Salary Summary 19 for 2019-2021'!L13</f>
        <v>983653.32868384407</v>
      </c>
      <c r="G48" s="89">
        <v>913653.32868384407</v>
      </c>
      <c r="H48" s="256" t="s">
        <v>999</v>
      </c>
      <c r="J48" s="89">
        <f>'[3]Salary Summary 20 for 2019-2021'!P13</f>
        <v>1030788.0710999926</v>
      </c>
      <c r="K48" s="202">
        <f t="shared" ref="K48:K50" si="28">J48</f>
        <v>1030788.0710999926</v>
      </c>
      <c r="L48" s="464"/>
      <c r="M48" s="204">
        <f>'Salary Summary 21 for 2022-2024'!M14</f>
        <v>1065582.776997911</v>
      </c>
      <c r="N48" s="204">
        <f t="shared" si="0"/>
        <v>1065582.776997911</v>
      </c>
      <c r="O48" s="717"/>
      <c r="P48" s="204">
        <f t="shared" si="1"/>
        <v>1065582.776997911</v>
      </c>
      <c r="Q48" s="466">
        <f>'Salary Summary 21 for 2022-2024'!Q14</f>
        <v>1098461.6803990018</v>
      </c>
      <c r="R48" s="466"/>
      <c r="S48" s="66">
        <f>'Salary Summary 21 for 2022-2024'!U14</f>
        <v>1134378.9230452438</v>
      </c>
      <c r="T48" s="66">
        <f t="shared" si="27"/>
        <v>1134378.9230452438</v>
      </c>
      <c r="U48" s="205">
        <f t="shared" si="2"/>
        <v>2232840.6034442456</v>
      </c>
      <c r="V48" s="205">
        <f t="shared" si="14"/>
        <v>3298423.3804421565</v>
      </c>
      <c r="W48" s="202">
        <f>E48+G48+K48</f>
        <v>2822071.3997838367</v>
      </c>
      <c r="X48" s="205"/>
      <c r="Y48" s="467"/>
      <c r="Z48" s="208">
        <v>2232840.6034442456</v>
      </c>
      <c r="AA48" s="245">
        <v>2962110.5115835015</v>
      </c>
    </row>
    <row r="49" spans="1:27" ht="28.25" customHeight="1">
      <c r="A49" s="201">
        <f t="shared" si="4"/>
        <v>607</v>
      </c>
      <c r="B49" s="446" t="s">
        <v>1000</v>
      </c>
      <c r="C49" s="89">
        <f>'[4]Salary Summary GC Adopted'!Y33</f>
        <v>3381318.8398741502</v>
      </c>
      <c r="D49" s="446">
        <v>4258875.1843536226</v>
      </c>
      <c r="E49" s="446">
        <v>1137903</v>
      </c>
      <c r="F49" s="446">
        <f>'[3]Salary Summary 19 for 2019-2021'!L39</f>
        <v>1300044.3315785052</v>
      </c>
      <c r="G49" s="89">
        <v>1300044.3315785052</v>
      </c>
      <c r="H49" s="445"/>
      <c r="I49" s="446"/>
      <c r="J49" s="446">
        <f>'[3]Salary Summary 20 for 2019-2021'!P39</f>
        <v>1338626.4568656427</v>
      </c>
      <c r="K49" s="202">
        <f t="shared" si="28"/>
        <v>1338626.4568656427</v>
      </c>
      <c r="L49" s="741"/>
      <c r="M49" s="204">
        <f>'Salary Summary 21 for 2022-2024'!M40</f>
        <v>1389721.0564475746</v>
      </c>
      <c r="N49" s="204">
        <f t="shared" si="0"/>
        <v>1389721.0564475746</v>
      </c>
      <c r="O49" s="717"/>
      <c r="P49" s="204">
        <f t="shared" si="1"/>
        <v>1389721.0564475746</v>
      </c>
      <c r="Q49" s="466">
        <f>'Salary Summary 21 for 2022-2024'!Q40</f>
        <v>1432139.054470778</v>
      </c>
      <c r="R49" s="466"/>
      <c r="S49" s="66">
        <f>'Salary Summary 21 for 2022-2024'!U40</f>
        <v>1477518.3544952064</v>
      </c>
      <c r="T49" s="66">
        <f t="shared" si="27"/>
        <v>1477518.3544952064</v>
      </c>
      <c r="U49" s="205">
        <f t="shared" si="2"/>
        <v>2909657.4089659844</v>
      </c>
      <c r="V49" s="205">
        <f t="shared" si="14"/>
        <v>4299378.4654135592</v>
      </c>
      <c r="W49" s="202">
        <f>E49+G49+K49</f>
        <v>3776573.7884441479</v>
      </c>
      <c r="X49" s="205"/>
      <c r="Y49" s="467"/>
      <c r="Z49" s="208">
        <v>2909657.4089659844</v>
      </c>
      <c r="AA49" s="245">
        <v>4191593.9638498724</v>
      </c>
    </row>
    <row r="50" spans="1:27" s="753" customFormat="1">
      <c r="A50" s="742">
        <f t="shared" si="4"/>
        <v>608</v>
      </c>
      <c r="B50" s="743" t="s">
        <v>1001</v>
      </c>
      <c r="C50" s="744">
        <v>-293000</v>
      </c>
      <c r="D50" s="744">
        <v>-300000</v>
      </c>
      <c r="E50" s="745">
        <v>-103000</v>
      </c>
      <c r="F50" s="745">
        <f>-'[4]Dividends 2017-2021 5%'!O14</f>
        <v>-108000</v>
      </c>
      <c r="G50" s="744">
        <v>-108000</v>
      </c>
      <c r="H50" s="746"/>
      <c r="I50" s="745"/>
      <c r="J50" s="745">
        <v>-111000</v>
      </c>
      <c r="K50" s="745">
        <f t="shared" si="28"/>
        <v>-111000</v>
      </c>
      <c r="L50" s="747"/>
      <c r="M50" s="747">
        <f>-'[3]Staff Details 2022-2024'!T173</f>
        <v>-34608</v>
      </c>
      <c r="N50" s="747">
        <f t="shared" si="0"/>
        <v>-34608</v>
      </c>
      <c r="O50" s="747" t="s">
        <v>1002</v>
      </c>
      <c r="P50" s="747">
        <f t="shared" si="1"/>
        <v>-34608</v>
      </c>
      <c r="Q50" s="748">
        <f>-'[3]Staff Details 2022-2024'!AF171</f>
        <v>-117922.32650128129</v>
      </c>
      <c r="R50" s="749"/>
      <c r="S50" s="748">
        <f>-'[3]Staff Details 2022-2024'!AR171</f>
        <v>-121582.34712688222</v>
      </c>
      <c r="T50" s="587">
        <f t="shared" si="27"/>
        <v>-121582.34712688222</v>
      </c>
      <c r="U50" s="750">
        <f t="shared" si="2"/>
        <v>-239504.67362816352</v>
      </c>
      <c r="V50" s="205">
        <f t="shared" si="14"/>
        <v>-274112.67362816352</v>
      </c>
      <c r="W50" s="745">
        <f>E50+G50+K50</f>
        <v>-322000</v>
      </c>
      <c r="X50" s="205"/>
      <c r="Y50" s="751" t="s">
        <v>1002</v>
      </c>
      <c r="Z50" s="752">
        <v>-239504.67362816352</v>
      </c>
      <c r="AA50" s="245">
        <v>-316222</v>
      </c>
    </row>
    <row r="51" spans="1:27">
      <c r="A51" s="201">
        <f t="shared" si="4"/>
        <v>609</v>
      </c>
      <c r="B51" s="445" t="s">
        <v>1003</v>
      </c>
      <c r="C51" s="89">
        <f>SUM(C47:C50)</f>
        <v>13124353.614186943</v>
      </c>
      <c r="D51" s="89">
        <v>12660392.048742738</v>
      </c>
      <c r="E51" s="89">
        <f>SUM(E47:E50)</f>
        <v>4126418</v>
      </c>
      <c r="F51" s="89">
        <f t="shared" ref="F51:I51" si="29">SUM(F47:F50)</f>
        <v>4368078.7762623494</v>
      </c>
      <c r="G51" s="89">
        <f>SUM(G47:G50)</f>
        <v>4298078.7762623494</v>
      </c>
      <c r="I51" s="89">
        <f t="shared" si="29"/>
        <v>0</v>
      </c>
      <c r="J51" s="89">
        <f>SUM(J47:J50)</f>
        <v>4458414.5279656351</v>
      </c>
      <c r="K51" s="89">
        <f t="shared" ref="K51:M51" si="30">SUM(K47:K50)</f>
        <v>4458414.5279656351</v>
      </c>
      <c r="L51" s="464">
        <f t="shared" si="30"/>
        <v>0</v>
      </c>
      <c r="M51" s="464">
        <f t="shared" si="30"/>
        <v>4302695.8334454857</v>
      </c>
      <c r="N51" s="464">
        <f t="shared" si="0"/>
        <v>4302695.8334454857</v>
      </c>
      <c r="O51" s="717"/>
      <c r="P51" s="464">
        <f t="shared" si="1"/>
        <v>4302695.8334454857</v>
      </c>
      <c r="Q51" s="205">
        <f>SUM(Q47:Q50)</f>
        <v>4269678.408368499</v>
      </c>
      <c r="R51" s="205">
        <f t="shared" ref="R51:V51" si="31">SUM(R47:R50)</f>
        <v>0</v>
      </c>
      <c r="S51" s="205">
        <f t="shared" si="31"/>
        <v>4323314.9304135684</v>
      </c>
      <c r="T51" s="205">
        <f t="shared" si="31"/>
        <v>4323314.9304135684</v>
      </c>
      <c r="U51" s="205">
        <f t="shared" si="2"/>
        <v>8592993.3387820683</v>
      </c>
      <c r="V51" s="205">
        <f t="shared" si="31"/>
        <v>12895689.172227554</v>
      </c>
      <c r="W51" s="89">
        <f>E51+G51+K51</f>
        <v>12882911.304227985</v>
      </c>
      <c r="X51" s="205"/>
      <c r="Y51" s="473"/>
      <c r="Z51" s="257">
        <v>8592993.3387820683</v>
      </c>
      <c r="AA51" s="754">
        <v>12562945.023433374</v>
      </c>
    </row>
    <row r="52" spans="1:27">
      <c r="A52" s="452">
        <f t="shared" si="4"/>
        <v>610</v>
      </c>
      <c r="D52" s="89">
        <v>0</v>
      </c>
      <c r="L52" s="464"/>
      <c r="M52" s="464"/>
      <c r="N52" s="464">
        <f t="shared" si="0"/>
        <v>0</v>
      </c>
      <c r="O52" s="717"/>
      <c r="P52" s="464">
        <f t="shared" si="1"/>
        <v>0</v>
      </c>
      <c r="Q52" s="466"/>
      <c r="R52" s="466"/>
      <c r="S52" s="466"/>
      <c r="T52" s="66">
        <f t="shared" si="27"/>
        <v>0</v>
      </c>
      <c r="U52" s="205">
        <f t="shared" si="2"/>
        <v>0</v>
      </c>
      <c r="V52" s="205">
        <f t="shared" si="14"/>
        <v>0</v>
      </c>
      <c r="X52" s="205"/>
      <c r="Y52" s="467"/>
      <c r="Z52" s="257">
        <v>0</v>
      </c>
      <c r="AA52" s="245"/>
    </row>
    <row r="53" spans="1:27" s="461" customFormat="1">
      <c r="A53" s="217">
        <f t="shared" si="4"/>
        <v>611</v>
      </c>
      <c r="B53" s="722" t="s">
        <v>1004</v>
      </c>
      <c r="C53" s="723">
        <f>C33+C45+C51</f>
        <v>15056353.614186943</v>
      </c>
      <c r="D53" s="723">
        <f t="shared" ref="D53:N53" si="32">D33+D45+D51</f>
        <v>14823573.848742738</v>
      </c>
      <c r="E53" s="723">
        <f t="shared" si="32"/>
        <v>4865525</v>
      </c>
      <c r="F53" s="723" t="e">
        <f t="shared" si="32"/>
        <v>#REF!</v>
      </c>
      <c r="G53" s="723">
        <f t="shared" si="32"/>
        <v>5131578.7762623494</v>
      </c>
      <c r="H53" s="755"/>
      <c r="I53" s="723">
        <f t="shared" si="32"/>
        <v>14000</v>
      </c>
      <c r="J53" s="723">
        <f t="shared" si="32"/>
        <v>5316914.5279656351</v>
      </c>
      <c r="K53" s="723">
        <f t="shared" si="32"/>
        <v>5330914.5279656351</v>
      </c>
      <c r="L53" s="724">
        <f t="shared" si="32"/>
        <v>16000</v>
      </c>
      <c r="M53" s="724">
        <f t="shared" si="32"/>
        <v>5225695.8334454857</v>
      </c>
      <c r="N53" s="724">
        <f t="shared" si="32"/>
        <v>5241695.8334454857</v>
      </c>
      <c r="O53" s="756"/>
      <c r="P53" s="724">
        <f t="shared" si="1"/>
        <v>5241695.8334454857</v>
      </c>
      <c r="Q53" s="513">
        <f t="shared" ref="Q53:T53" si="33">Q33+Q45+Q51</f>
        <v>5219878.408368499</v>
      </c>
      <c r="R53" s="513">
        <f t="shared" si="33"/>
        <v>18000</v>
      </c>
      <c r="S53" s="513">
        <f t="shared" si="33"/>
        <v>5282514.9304135684</v>
      </c>
      <c r="T53" s="513">
        <f t="shared" si="33"/>
        <v>5300514.9304135684</v>
      </c>
      <c r="U53" s="513">
        <f t="shared" si="2"/>
        <v>10520393.338782068</v>
      </c>
      <c r="V53" s="513">
        <f t="shared" si="14"/>
        <v>15762089.172227554</v>
      </c>
      <c r="W53" s="723">
        <f>E53+G53+K53</f>
        <v>15328018.304227985</v>
      </c>
      <c r="X53" s="513"/>
      <c r="Y53" s="726"/>
      <c r="Z53" s="727">
        <v>10510393.338782068</v>
      </c>
      <c r="AA53" s="516">
        <f>AA33+AA45+AA51</f>
        <v>14731626.823433373</v>
      </c>
    </row>
    <row r="54" spans="1:27">
      <c r="A54" s="201">
        <f t="shared" si="4"/>
        <v>612</v>
      </c>
      <c r="L54" s="464"/>
      <c r="M54" s="464"/>
      <c r="N54" s="464">
        <f t="shared" si="0"/>
        <v>0</v>
      </c>
      <c r="O54" s="717"/>
      <c r="P54" s="464">
        <f t="shared" si="1"/>
        <v>0</v>
      </c>
      <c r="Q54" s="466"/>
      <c r="R54" s="466"/>
      <c r="S54" s="466"/>
      <c r="T54" s="466"/>
      <c r="U54" s="466">
        <f t="shared" si="2"/>
        <v>0</v>
      </c>
      <c r="V54" s="466"/>
      <c r="X54" s="466"/>
      <c r="Y54" s="467"/>
      <c r="AA54" s="466"/>
    </row>
    <row r="55" spans="1:27">
      <c r="A55" s="201">
        <f t="shared" si="4"/>
        <v>613</v>
      </c>
      <c r="B55" s="461" t="s">
        <v>133</v>
      </c>
      <c r="L55" s="464"/>
      <c r="M55" s="464"/>
      <c r="N55" s="464">
        <f t="shared" si="0"/>
        <v>0</v>
      </c>
      <c r="O55" s="717"/>
      <c r="P55" s="464">
        <f t="shared" si="1"/>
        <v>0</v>
      </c>
      <c r="Q55" s="466"/>
      <c r="R55" s="466"/>
      <c r="S55" s="466"/>
      <c r="T55" s="466"/>
      <c r="U55" s="466">
        <f t="shared" si="2"/>
        <v>0</v>
      </c>
      <c r="V55" s="466"/>
      <c r="X55" s="466"/>
      <c r="Y55" s="467"/>
      <c r="AA55" s="466"/>
    </row>
    <row r="56" spans="1:27">
      <c r="A56" s="201">
        <f t="shared" si="4"/>
        <v>614</v>
      </c>
      <c r="L56" s="464"/>
      <c r="M56" s="464"/>
      <c r="N56" s="464">
        <f t="shared" si="0"/>
        <v>0</v>
      </c>
      <c r="O56" s="717"/>
      <c r="P56" s="464">
        <f t="shared" si="1"/>
        <v>0</v>
      </c>
      <c r="Q56" s="466"/>
      <c r="R56" s="466"/>
      <c r="S56" s="466"/>
      <c r="T56" s="466"/>
      <c r="U56" s="466">
        <f t="shared" si="2"/>
        <v>0</v>
      </c>
      <c r="V56" s="466"/>
      <c r="X56" s="466"/>
      <c r="Y56" s="467"/>
      <c r="AA56" s="466"/>
    </row>
    <row r="57" spans="1:27">
      <c r="A57" s="201">
        <f t="shared" si="4"/>
        <v>615</v>
      </c>
      <c r="B57" s="446" t="s">
        <v>1005</v>
      </c>
      <c r="C57" s="89">
        <f>207000-7000</f>
        <v>200000</v>
      </c>
      <c r="D57" s="89">
        <v>120000</v>
      </c>
      <c r="E57" s="227">
        <v>545170</v>
      </c>
      <c r="F57" s="202">
        <v>30000</v>
      </c>
      <c r="G57" s="202">
        <v>25000</v>
      </c>
      <c r="H57" s="203"/>
      <c r="I57" s="202"/>
      <c r="J57" s="202">
        <v>30000</v>
      </c>
      <c r="K57" s="202">
        <f>J57</f>
        <v>30000</v>
      </c>
      <c r="L57" s="204"/>
      <c r="M57" s="204">
        <v>60000</v>
      </c>
      <c r="N57" s="204">
        <f t="shared" si="0"/>
        <v>60000</v>
      </c>
      <c r="O57" s="717"/>
      <c r="P57" s="204">
        <f t="shared" si="1"/>
        <v>60000</v>
      </c>
      <c r="Q57" s="466">
        <v>75000</v>
      </c>
      <c r="R57" s="466"/>
      <c r="S57" s="66">
        <f t="shared" ref="S57:T66" si="34">Q57+R57</f>
        <v>75000</v>
      </c>
      <c r="T57" s="66">
        <f t="shared" si="34"/>
        <v>75000</v>
      </c>
      <c r="U57" s="205">
        <f t="shared" si="2"/>
        <v>150000</v>
      </c>
      <c r="V57" s="205">
        <f t="shared" ref="V57:V120" si="35">U57+P57</f>
        <v>210000</v>
      </c>
      <c r="W57" s="202">
        <f>E57+G57+K57</f>
        <v>600170</v>
      </c>
      <c r="X57" s="205"/>
      <c r="Y57" s="467"/>
      <c r="Z57" s="208">
        <v>150000</v>
      </c>
      <c r="AA57" s="205">
        <v>90000</v>
      </c>
    </row>
    <row r="58" spans="1:27" ht="37.9" customHeight="1">
      <c r="A58" s="201">
        <f t="shared" si="4"/>
        <v>616</v>
      </c>
      <c r="B58" s="446" t="s">
        <v>1006</v>
      </c>
      <c r="C58" s="89">
        <v>2500000</v>
      </c>
      <c r="D58" s="227">
        <v>750000</v>
      </c>
      <c r="E58" s="227">
        <v>444188</v>
      </c>
      <c r="F58" s="227">
        <v>200000</v>
      </c>
      <c r="G58" s="227">
        <v>150000</v>
      </c>
      <c r="H58" s="228" t="s">
        <v>1007</v>
      </c>
      <c r="I58" s="227"/>
      <c r="J58" s="227">
        <v>200000</v>
      </c>
      <c r="K58" s="202">
        <f t="shared" ref="K58:K65" si="36">J58</f>
        <v>200000</v>
      </c>
      <c r="L58" s="229"/>
      <c r="M58" s="204">
        <v>200000</v>
      </c>
      <c r="N58" s="204">
        <f t="shared" si="0"/>
        <v>200000</v>
      </c>
      <c r="O58" s="230" t="s">
        <v>1008</v>
      </c>
      <c r="P58" s="204">
        <f t="shared" si="1"/>
        <v>200000</v>
      </c>
      <c r="Q58" s="719">
        <v>150000</v>
      </c>
      <c r="R58" s="466"/>
      <c r="S58" s="140">
        <v>150000</v>
      </c>
      <c r="T58" s="66">
        <f t="shared" si="34"/>
        <v>150000</v>
      </c>
      <c r="U58" s="205">
        <f t="shared" si="2"/>
        <v>300000</v>
      </c>
      <c r="V58" s="205">
        <f t="shared" si="35"/>
        <v>500000</v>
      </c>
      <c r="W58" s="202">
        <f>E58+G58+K58</f>
        <v>794188</v>
      </c>
      <c r="X58" s="205"/>
      <c r="Y58" s="467" t="s">
        <v>1008</v>
      </c>
      <c r="Z58" s="208">
        <v>325000</v>
      </c>
      <c r="AA58" s="205">
        <v>600000</v>
      </c>
    </row>
    <row r="59" spans="1:27" ht="24" customHeight="1">
      <c r="A59" s="201">
        <f t="shared" si="4"/>
        <v>617</v>
      </c>
      <c r="B59" s="446" t="s">
        <v>1009</v>
      </c>
      <c r="D59" s="227">
        <v>1100000</v>
      </c>
      <c r="E59" s="227"/>
      <c r="F59" s="227">
        <f>350000*1.03</f>
        <v>360500</v>
      </c>
      <c r="G59" s="227">
        <v>427829</v>
      </c>
      <c r="H59" s="228" t="s">
        <v>1010</v>
      </c>
      <c r="I59" s="227"/>
      <c r="J59" s="227"/>
      <c r="K59" s="202">
        <f t="shared" si="36"/>
        <v>0</v>
      </c>
      <c r="L59" s="229"/>
      <c r="M59" s="204"/>
      <c r="N59" s="204">
        <f t="shared" si="0"/>
        <v>0</v>
      </c>
      <c r="O59" s="230"/>
      <c r="P59" s="204">
        <f t="shared" si="1"/>
        <v>0</v>
      </c>
      <c r="Q59" s="466"/>
      <c r="R59" s="466"/>
      <c r="S59" s="66">
        <f t="shared" si="34"/>
        <v>0</v>
      </c>
      <c r="T59" s="66">
        <f t="shared" si="34"/>
        <v>0</v>
      </c>
      <c r="U59" s="205">
        <f t="shared" si="2"/>
        <v>0</v>
      </c>
      <c r="V59" s="205">
        <f t="shared" si="35"/>
        <v>0</v>
      </c>
      <c r="W59" s="202"/>
      <c r="X59" s="205"/>
      <c r="Y59" s="467"/>
      <c r="Z59" s="208">
        <v>0</v>
      </c>
      <c r="AA59" s="205">
        <v>1114269.45</v>
      </c>
    </row>
    <row r="60" spans="1:27" ht="21.75" customHeight="1">
      <c r="A60" s="201">
        <f t="shared" si="4"/>
        <v>618</v>
      </c>
      <c r="B60" s="446" t="s">
        <v>1011</v>
      </c>
      <c r="D60" s="227">
        <v>300000</v>
      </c>
      <c r="E60" s="227"/>
      <c r="F60" s="227">
        <v>70000</v>
      </c>
      <c r="G60" s="227">
        <v>150000</v>
      </c>
      <c r="H60" s="228" t="s">
        <v>1012</v>
      </c>
      <c r="I60" s="227"/>
      <c r="J60" s="227">
        <v>150000</v>
      </c>
      <c r="K60" s="202">
        <f t="shared" si="36"/>
        <v>150000</v>
      </c>
      <c r="L60" s="229"/>
      <c r="M60" s="204">
        <v>200000</v>
      </c>
      <c r="N60" s="204">
        <f t="shared" si="0"/>
        <v>200000</v>
      </c>
      <c r="O60" s="230" t="s">
        <v>1013</v>
      </c>
      <c r="P60" s="204">
        <f t="shared" si="1"/>
        <v>200000</v>
      </c>
      <c r="Q60" s="719">
        <v>260000</v>
      </c>
      <c r="R60" s="719"/>
      <c r="S60" s="140">
        <v>275000</v>
      </c>
      <c r="T60" s="140">
        <f t="shared" si="34"/>
        <v>275000</v>
      </c>
      <c r="U60" s="233">
        <f t="shared" si="2"/>
        <v>535000</v>
      </c>
      <c r="V60" s="205">
        <f t="shared" si="35"/>
        <v>735000</v>
      </c>
      <c r="W60" s="202">
        <f t="shared" ref="W60:W66" si="37">E60+G60+K60</f>
        <v>300000</v>
      </c>
      <c r="X60" s="233"/>
      <c r="Y60" s="467" t="s">
        <v>1013</v>
      </c>
      <c r="Z60" s="208">
        <v>540000</v>
      </c>
      <c r="AA60" s="205">
        <v>300000</v>
      </c>
    </row>
    <row r="61" spans="1:27" ht="14.65" customHeight="1">
      <c r="A61" s="201">
        <f t="shared" si="4"/>
        <v>619</v>
      </c>
      <c r="B61" s="446" t="s">
        <v>443</v>
      </c>
      <c r="D61" s="227">
        <v>30000</v>
      </c>
      <c r="E61" s="227"/>
      <c r="F61" s="227">
        <v>60000</v>
      </c>
      <c r="G61" s="227">
        <v>20000</v>
      </c>
      <c r="H61" s="228" t="s">
        <v>177</v>
      </c>
      <c r="I61" s="227">
        <f>2*12*(165+65+20)</f>
        <v>6000</v>
      </c>
      <c r="J61" s="227">
        <v>50000</v>
      </c>
      <c r="K61" s="202">
        <f t="shared" si="36"/>
        <v>50000</v>
      </c>
      <c r="L61" s="229">
        <f>2*12*(165+65+20)</f>
        <v>6000</v>
      </c>
      <c r="M61" s="204">
        <v>40000</v>
      </c>
      <c r="N61" s="204">
        <f t="shared" si="0"/>
        <v>46000</v>
      </c>
      <c r="O61" s="230"/>
      <c r="P61" s="204">
        <f t="shared" si="1"/>
        <v>46000</v>
      </c>
      <c r="Q61" s="719">
        <v>35000</v>
      </c>
      <c r="R61" s="466">
        <v>6500</v>
      </c>
      <c r="S61" s="140">
        <v>35000</v>
      </c>
      <c r="T61" s="66">
        <f t="shared" si="34"/>
        <v>41500</v>
      </c>
      <c r="U61" s="205">
        <f t="shared" si="2"/>
        <v>76500</v>
      </c>
      <c r="V61" s="205">
        <f t="shared" si="35"/>
        <v>122500</v>
      </c>
      <c r="W61" s="202">
        <f t="shared" si="37"/>
        <v>70000</v>
      </c>
      <c r="X61" s="205"/>
      <c r="Y61" s="467"/>
      <c r="Z61" s="208">
        <v>111500</v>
      </c>
      <c r="AA61" s="205">
        <v>135000</v>
      </c>
    </row>
    <row r="62" spans="1:27">
      <c r="A62" s="201">
        <f t="shared" si="4"/>
        <v>620</v>
      </c>
      <c r="B62" s="446" t="s">
        <v>1014</v>
      </c>
      <c r="D62" s="227">
        <v>9500</v>
      </c>
      <c r="E62" s="227"/>
      <c r="F62" s="227">
        <v>3100</v>
      </c>
      <c r="G62" s="227">
        <v>3100</v>
      </c>
      <c r="H62" s="228"/>
      <c r="I62" s="227"/>
      <c r="J62" s="227">
        <v>3300</v>
      </c>
      <c r="K62" s="202">
        <f t="shared" si="36"/>
        <v>3300</v>
      </c>
      <c r="L62" s="229"/>
      <c r="M62" s="204">
        <v>3300</v>
      </c>
      <c r="N62" s="204">
        <f t="shared" si="0"/>
        <v>3300</v>
      </c>
      <c r="O62" s="230"/>
      <c r="P62" s="204">
        <f t="shared" si="1"/>
        <v>3300</v>
      </c>
      <c r="Q62" s="466">
        <v>3450</v>
      </c>
      <c r="R62" s="466"/>
      <c r="S62" s="66">
        <v>3600</v>
      </c>
      <c r="T62" s="66">
        <f t="shared" si="34"/>
        <v>3600</v>
      </c>
      <c r="U62" s="205">
        <f t="shared" si="2"/>
        <v>7050</v>
      </c>
      <c r="V62" s="205">
        <f t="shared" si="35"/>
        <v>10350</v>
      </c>
      <c r="W62" s="202">
        <f t="shared" si="37"/>
        <v>6400</v>
      </c>
      <c r="X62" s="205"/>
      <c r="Y62" s="467"/>
      <c r="Z62" s="208">
        <v>7050</v>
      </c>
      <c r="AA62" s="205">
        <v>9500</v>
      </c>
    </row>
    <row r="63" spans="1:27">
      <c r="A63" s="201">
        <f t="shared" si="4"/>
        <v>621</v>
      </c>
      <c r="B63" s="446" t="s">
        <v>1015</v>
      </c>
      <c r="D63" s="227">
        <v>7500</v>
      </c>
      <c r="E63" s="227"/>
      <c r="F63" s="227">
        <v>2500</v>
      </c>
      <c r="G63" s="227">
        <v>2500</v>
      </c>
      <c r="H63" s="228"/>
      <c r="I63" s="227"/>
      <c r="J63" s="227">
        <v>2500</v>
      </c>
      <c r="K63" s="202">
        <f t="shared" si="36"/>
        <v>2500</v>
      </c>
      <c r="L63" s="229"/>
      <c r="M63" s="204">
        <v>3000</v>
      </c>
      <c r="N63" s="204">
        <f t="shared" si="0"/>
        <v>3000</v>
      </c>
      <c r="O63" s="230"/>
      <c r="P63" s="204">
        <f t="shared" si="1"/>
        <v>3000</v>
      </c>
      <c r="Q63" s="466">
        <v>3150</v>
      </c>
      <c r="R63" s="466"/>
      <c r="S63" s="66">
        <v>3300</v>
      </c>
      <c r="T63" s="66">
        <f t="shared" si="34"/>
        <v>3300</v>
      </c>
      <c r="U63" s="205">
        <f t="shared" si="2"/>
        <v>6450</v>
      </c>
      <c r="V63" s="205">
        <f t="shared" si="35"/>
        <v>9450</v>
      </c>
      <c r="W63" s="202">
        <f t="shared" si="37"/>
        <v>5000</v>
      </c>
      <c r="X63" s="205"/>
      <c r="Y63" s="467"/>
      <c r="Z63" s="208">
        <v>6450</v>
      </c>
      <c r="AA63" s="205">
        <v>7500</v>
      </c>
    </row>
    <row r="64" spans="1:27" ht="28.15" customHeight="1">
      <c r="A64" s="201" t="s">
        <v>1016</v>
      </c>
      <c r="B64" s="446" t="s">
        <v>190</v>
      </c>
      <c r="C64" s="89">
        <f>'[4]Salary Summary GC Adopted'!Y27</f>
        <v>864976.61500796</v>
      </c>
      <c r="D64" s="89">
        <v>1302789.374855428</v>
      </c>
      <c r="E64" s="89">
        <v>481635</v>
      </c>
      <c r="F64" s="89">
        <f>'[3]Salary Summary 19 for 2019-2021'!L29-'[4]Staff Details Aug 19 for 19-21'!AC122</f>
        <v>506871.48387962807</v>
      </c>
      <c r="G64" s="89">
        <v>526641</v>
      </c>
      <c r="H64" s="256" t="s">
        <v>1017</v>
      </c>
      <c r="J64" s="89">
        <f>'[3]Salary Summary 20 for 2019-2021'!P29+450000</f>
        <v>993116.26675601676</v>
      </c>
      <c r="K64" s="202">
        <f t="shared" si="36"/>
        <v>993116.26675601676</v>
      </c>
      <c r="L64" s="464"/>
      <c r="M64" s="204">
        <f>'Salary Summary 21 for 2022-2024'!M30</f>
        <v>1179810.3312978335</v>
      </c>
      <c r="N64" s="204">
        <f t="shared" si="0"/>
        <v>1179810.3312978335</v>
      </c>
      <c r="O64" s="757" t="s">
        <v>1018</v>
      </c>
      <c r="P64" s="204">
        <f t="shared" si="1"/>
        <v>1179810.3312978335</v>
      </c>
      <c r="Q64" s="466">
        <f>'Salary Summary 21 for 2022-2024'!Q30</f>
        <v>1214712.0818905591</v>
      </c>
      <c r="R64" s="466"/>
      <c r="S64" s="466">
        <f>'Salary Summary 21 for 2022-2024'!U30</f>
        <v>1252837.6068217002</v>
      </c>
      <c r="T64" s="66">
        <f t="shared" si="34"/>
        <v>1252837.6068217002</v>
      </c>
      <c r="U64" s="205">
        <f t="shared" si="2"/>
        <v>2467549.6887122593</v>
      </c>
      <c r="V64" s="205">
        <f t="shared" si="35"/>
        <v>3647360.0200100928</v>
      </c>
      <c r="W64" s="202">
        <f t="shared" si="37"/>
        <v>2001392.2667560168</v>
      </c>
      <c r="X64" s="205"/>
      <c r="Y64" s="467" t="s">
        <v>1018</v>
      </c>
      <c r="Z64" s="208">
        <v>2467549.6887122593</v>
      </c>
      <c r="AA64" s="205">
        <v>1511991.9901710667</v>
      </c>
    </row>
    <row r="65" spans="1:27" ht="21" customHeight="1">
      <c r="A65" s="201" t="s">
        <v>1019</v>
      </c>
      <c r="B65" s="445" t="s">
        <v>1020</v>
      </c>
      <c r="D65" s="89">
        <v>0</v>
      </c>
      <c r="F65" s="89">
        <f>-'[4]Dividends 2017-2021 5%'!O15</f>
        <v>-33000</v>
      </c>
      <c r="G65" s="89">
        <v>-33000</v>
      </c>
      <c r="J65" s="89">
        <v>-33000</v>
      </c>
      <c r="K65" s="202">
        <f t="shared" si="36"/>
        <v>-33000</v>
      </c>
      <c r="L65" s="464"/>
      <c r="M65" s="204">
        <f>-'[3]Staff Details 2022-2024'!T233</f>
        <v>-7777.739458616401</v>
      </c>
      <c r="N65" s="204">
        <f t="shared" si="0"/>
        <v>-7777.739458616401</v>
      </c>
      <c r="O65" s="717" t="s">
        <v>1021</v>
      </c>
      <c r="P65" s="204">
        <f t="shared" si="1"/>
        <v>-7777.739458616401</v>
      </c>
      <c r="Q65" s="466">
        <f>-'[3]Staff Details 2022-2024'!AF233</f>
        <v>-43042.333181209113</v>
      </c>
      <c r="R65" s="466"/>
      <c r="S65" s="466">
        <f>-'[3]Staff Details 2022-2024'!AR233</f>
        <v>-44405.51550548357</v>
      </c>
      <c r="T65" s="66">
        <f t="shared" si="34"/>
        <v>-44405.51550548357</v>
      </c>
      <c r="U65" s="205">
        <f t="shared" si="2"/>
        <v>-87447.848686692683</v>
      </c>
      <c r="V65" s="205">
        <f t="shared" si="35"/>
        <v>-95225.588145309084</v>
      </c>
      <c r="W65" s="202">
        <f t="shared" si="37"/>
        <v>-66000</v>
      </c>
      <c r="X65" s="205"/>
      <c r="Y65" s="467" t="s">
        <v>1021</v>
      </c>
      <c r="Z65" s="208">
        <v>-87447.848686692683</v>
      </c>
      <c r="AA65" s="205">
        <v>-99000</v>
      </c>
    </row>
    <row r="66" spans="1:27">
      <c r="A66" s="201" t="s">
        <v>194</v>
      </c>
      <c r="B66" s="743" t="s">
        <v>919</v>
      </c>
      <c r="K66" s="89">
        <f>I67</f>
        <v>6000</v>
      </c>
      <c r="L66" s="464"/>
      <c r="M66" s="464"/>
      <c r="N66" s="464">
        <f t="shared" si="0"/>
        <v>0</v>
      </c>
      <c r="O66" s="717"/>
      <c r="P66" s="464">
        <f t="shared" si="1"/>
        <v>0</v>
      </c>
      <c r="Q66" s="466"/>
      <c r="R66" s="466"/>
      <c r="S66" s="466"/>
      <c r="T66" s="66">
        <f t="shared" si="34"/>
        <v>0</v>
      </c>
      <c r="U66" s="205">
        <f t="shared" si="2"/>
        <v>0</v>
      </c>
      <c r="V66" s="205">
        <f t="shared" si="35"/>
        <v>0</v>
      </c>
      <c r="W66" s="89">
        <f t="shared" si="37"/>
        <v>6000</v>
      </c>
      <c r="X66" s="205"/>
      <c r="Y66" s="467"/>
      <c r="Z66" s="257">
        <v>0</v>
      </c>
      <c r="AA66" s="205"/>
    </row>
    <row r="67" spans="1:27" s="722" customFormat="1" ht="20.95" customHeight="1">
      <c r="A67" s="217">
        <v>623</v>
      </c>
      <c r="B67" s="722" t="s">
        <v>1022</v>
      </c>
      <c r="C67" s="723">
        <f>SUM(C56:C64)</f>
        <v>3564976.6150079602</v>
      </c>
      <c r="D67" s="723">
        <f t="shared" ref="D67:N67" si="38">SUM(D56:D65)</f>
        <v>3619789.374855428</v>
      </c>
      <c r="E67" s="723">
        <f>SUM(E56:E65)</f>
        <v>1470993</v>
      </c>
      <c r="F67" s="723">
        <f t="shared" ref="F67" si="39">SUM(F56:F65)</f>
        <v>1199971.4838796281</v>
      </c>
      <c r="G67" s="723">
        <f>SUM(G56:G65)</f>
        <v>1272070</v>
      </c>
      <c r="H67" s="723">
        <f t="shared" si="38"/>
        <v>0</v>
      </c>
      <c r="I67" s="723">
        <f t="shared" si="38"/>
        <v>6000</v>
      </c>
      <c r="J67" s="723">
        <f t="shared" si="38"/>
        <v>1395916.2667560168</v>
      </c>
      <c r="K67" s="723">
        <f t="shared" si="38"/>
        <v>1395916.2667560168</v>
      </c>
      <c r="L67" s="724">
        <f t="shared" si="38"/>
        <v>6000</v>
      </c>
      <c r="M67" s="724">
        <f t="shared" si="38"/>
        <v>1678332.5918392171</v>
      </c>
      <c r="N67" s="724">
        <f t="shared" si="38"/>
        <v>1684332.5918392171</v>
      </c>
      <c r="O67" s="756" t="s">
        <v>1023</v>
      </c>
      <c r="P67" s="724">
        <f t="shared" si="1"/>
        <v>1684332.5918392171</v>
      </c>
      <c r="Q67" s="513">
        <f>SUM(Q56:Q65)</f>
        <v>1698269.7487093499</v>
      </c>
      <c r="R67" s="513">
        <f t="shared" ref="R67:V67" si="40">SUM(R56:R65)</f>
        <v>6500</v>
      </c>
      <c r="S67" s="513">
        <f t="shared" si="40"/>
        <v>1750332.0913162166</v>
      </c>
      <c r="T67" s="513">
        <f t="shared" si="40"/>
        <v>1756832.0913162166</v>
      </c>
      <c r="U67" s="513">
        <f t="shared" si="2"/>
        <v>3455101.8400255665</v>
      </c>
      <c r="V67" s="513">
        <f t="shared" si="40"/>
        <v>5139434.4318647841</v>
      </c>
      <c r="W67" s="723">
        <f>SUM(W56:W65)</f>
        <v>3711150.2667560168</v>
      </c>
      <c r="X67" s="513"/>
      <c r="Y67" s="726" t="s">
        <v>1023</v>
      </c>
      <c r="Z67" s="727">
        <v>3520101.8400255665</v>
      </c>
      <c r="AA67" s="513">
        <v>3669261.4401710667</v>
      </c>
    </row>
    <row r="68" spans="1:27">
      <c r="A68" s="201">
        <f t="shared" si="4"/>
        <v>624</v>
      </c>
      <c r="L68" s="464"/>
      <c r="M68" s="464"/>
      <c r="N68" s="464">
        <f t="shared" si="0"/>
        <v>0</v>
      </c>
      <c r="O68" s="717"/>
      <c r="P68" s="464">
        <f t="shared" si="1"/>
        <v>0</v>
      </c>
      <c r="Q68" s="466"/>
      <c r="R68" s="466"/>
      <c r="S68" s="466"/>
      <c r="T68" s="466"/>
      <c r="U68" s="758">
        <f t="shared" si="2"/>
        <v>0</v>
      </c>
      <c r="V68" s="466">
        <f t="shared" si="35"/>
        <v>0</v>
      </c>
      <c r="X68" s="758"/>
      <c r="Y68" s="467"/>
      <c r="AA68" s="466"/>
    </row>
    <row r="69" spans="1:27">
      <c r="A69" s="201">
        <f t="shared" si="4"/>
        <v>625</v>
      </c>
      <c r="B69" s="461" t="s">
        <v>1024</v>
      </c>
      <c r="D69" s="89">
        <v>0</v>
      </c>
      <c r="L69" s="464"/>
      <c r="M69" s="464"/>
      <c r="N69" s="464">
        <f t="shared" si="0"/>
        <v>0</v>
      </c>
      <c r="O69" s="717"/>
      <c r="P69" s="464">
        <f t="shared" si="1"/>
        <v>0</v>
      </c>
      <c r="Q69" s="466"/>
      <c r="R69" s="466"/>
      <c r="S69" s="466"/>
      <c r="T69" s="466"/>
      <c r="U69" s="466">
        <f t="shared" si="2"/>
        <v>0</v>
      </c>
      <c r="V69" s="466">
        <f t="shared" si="35"/>
        <v>0</v>
      </c>
      <c r="X69" s="466"/>
      <c r="Y69" s="467"/>
      <c r="AA69" s="466"/>
    </row>
    <row r="70" spans="1:27" ht="26.65" customHeight="1">
      <c r="A70" s="201" t="s">
        <v>1025</v>
      </c>
      <c r="B70" s="446" t="s">
        <v>447</v>
      </c>
      <c r="C70" s="89">
        <v>125000</v>
      </c>
      <c r="D70" s="89">
        <v>360000</v>
      </c>
      <c r="E70" s="202">
        <f>16310+3047</f>
        <v>19357</v>
      </c>
      <c r="F70" s="202">
        <v>80000</v>
      </c>
      <c r="G70" s="202">
        <v>30000</v>
      </c>
      <c r="H70" s="203" t="s">
        <v>1026</v>
      </c>
      <c r="I70" s="202">
        <v>6000</v>
      </c>
      <c r="J70" s="202">
        <v>50000</v>
      </c>
      <c r="K70" s="202">
        <f>J70</f>
        <v>50000</v>
      </c>
      <c r="L70" s="204"/>
      <c r="M70" s="204">
        <v>51500</v>
      </c>
      <c r="N70" s="204">
        <f t="shared" si="0"/>
        <v>51500</v>
      </c>
      <c r="O70" s="717"/>
      <c r="P70" s="204">
        <f t="shared" si="1"/>
        <v>51500</v>
      </c>
      <c r="Q70" s="470">
        <v>46500</v>
      </c>
      <c r="R70" s="466"/>
      <c r="S70" s="66">
        <f t="shared" ref="S70:T73" si="41">Q70+R70</f>
        <v>46500</v>
      </c>
      <c r="T70" s="66">
        <f t="shared" si="41"/>
        <v>46500</v>
      </c>
      <c r="U70" s="205">
        <f t="shared" si="2"/>
        <v>93000</v>
      </c>
      <c r="V70" s="205">
        <f t="shared" si="35"/>
        <v>144500</v>
      </c>
      <c r="W70" s="202">
        <f>E70+G70+K70</f>
        <v>99357</v>
      </c>
      <c r="X70" s="205"/>
      <c r="Y70" s="467"/>
      <c r="Z70" s="208">
        <v>103000</v>
      </c>
      <c r="AA70" s="205">
        <v>360000</v>
      </c>
    </row>
    <row r="71" spans="1:27" ht="19.5" customHeight="1">
      <c r="A71" s="201" t="s">
        <v>1027</v>
      </c>
      <c r="B71" s="446" t="s">
        <v>443</v>
      </c>
      <c r="D71" s="89">
        <v>0</v>
      </c>
      <c r="E71" s="202"/>
      <c r="F71" s="202"/>
      <c r="G71" s="202">
        <v>0</v>
      </c>
      <c r="H71" s="203"/>
      <c r="I71" s="202">
        <v>7500</v>
      </c>
      <c r="J71" s="202">
        <v>7000</v>
      </c>
      <c r="K71" s="202">
        <f t="shared" ref="K71:K72" si="42">J71</f>
        <v>7000</v>
      </c>
      <c r="L71" s="204">
        <v>7500</v>
      </c>
      <c r="M71" s="204">
        <v>6300</v>
      </c>
      <c r="N71" s="204">
        <f t="shared" ref="N71:N134" si="43">L71+M71</f>
        <v>13800</v>
      </c>
      <c r="O71" s="717" t="s">
        <v>1028</v>
      </c>
      <c r="P71" s="204">
        <f t="shared" ref="P71:P134" si="44">N71</f>
        <v>13800</v>
      </c>
      <c r="Q71" s="470">
        <v>5600</v>
      </c>
      <c r="R71" s="466"/>
      <c r="S71" s="66">
        <f t="shared" si="41"/>
        <v>5600</v>
      </c>
      <c r="T71" s="66">
        <f t="shared" si="41"/>
        <v>5600</v>
      </c>
      <c r="U71" s="205">
        <f t="shared" ref="U71:U134" si="45">Q71+T71</f>
        <v>11200</v>
      </c>
      <c r="V71" s="205">
        <f t="shared" si="35"/>
        <v>25000</v>
      </c>
      <c r="W71" s="202">
        <f>E71+G71+K71</f>
        <v>7000</v>
      </c>
      <c r="X71" s="205"/>
      <c r="Y71" s="467" t="s">
        <v>1028</v>
      </c>
      <c r="Z71" s="208">
        <v>12600</v>
      </c>
      <c r="AA71" s="205"/>
    </row>
    <row r="72" spans="1:27" ht="21.95" customHeight="1">
      <c r="A72" s="201">
        <v>627</v>
      </c>
      <c r="B72" s="446" t="s">
        <v>419</v>
      </c>
      <c r="C72" s="89">
        <f>+'[4]Salary Summary GC Adopted'!Y9</f>
        <v>2163344.8693473814</v>
      </c>
      <c r="D72" s="446">
        <v>1865220.0300766211</v>
      </c>
      <c r="E72" s="446">
        <v>540782</v>
      </c>
      <c r="F72" s="446">
        <f>'[3]Salary Summary 19 for 2019-2021'!L10</f>
        <v>547650.116588832</v>
      </c>
      <c r="G72" s="446">
        <v>547650.116588832</v>
      </c>
      <c r="H72" s="445"/>
      <c r="I72" s="446"/>
      <c r="J72" s="446">
        <f>'[3]Salary Summary 20 for 2019-2021'!P10</f>
        <v>564176.04264168791</v>
      </c>
      <c r="K72" s="202">
        <f t="shared" si="42"/>
        <v>564176.04264168791</v>
      </c>
      <c r="L72" s="741"/>
      <c r="M72" s="204">
        <f>'Salary Summary 21 for 2022-2024'!M11</f>
        <v>582546.08968040161</v>
      </c>
      <c r="N72" s="204">
        <f t="shared" si="43"/>
        <v>582546.08968040161</v>
      </c>
      <c r="O72" s="757"/>
      <c r="P72" s="204">
        <f t="shared" si="44"/>
        <v>582546.08968040161</v>
      </c>
      <c r="Q72" s="466">
        <f>'Salary Summary 21 for 2022-2024'!Q11</f>
        <v>601601.61470822652</v>
      </c>
      <c r="R72" s="466"/>
      <c r="S72" s="66">
        <f>'Salary Summary 21 for 2022-2024'!U11</f>
        <v>620440.53260095289</v>
      </c>
      <c r="T72" s="66">
        <f t="shared" si="41"/>
        <v>620440.53260095289</v>
      </c>
      <c r="U72" s="205">
        <f t="shared" si="45"/>
        <v>1222042.1473091794</v>
      </c>
      <c r="V72" s="205">
        <f t="shared" si="35"/>
        <v>1804588.236989581</v>
      </c>
      <c r="W72" s="202">
        <f>E72+G72+K72</f>
        <v>1652608.1592305198</v>
      </c>
      <c r="X72" s="205"/>
      <c r="Y72" s="467"/>
      <c r="Z72" s="208">
        <v>1222042.1473091794</v>
      </c>
      <c r="AA72" s="205">
        <v>1641340.3459635605</v>
      </c>
    </row>
    <row r="73" spans="1:27">
      <c r="A73" s="201" t="s">
        <v>1029</v>
      </c>
      <c r="B73" s="446" t="s">
        <v>919</v>
      </c>
      <c r="D73" s="446"/>
      <c r="E73" s="446"/>
      <c r="F73" s="446"/>
      <c r="G73" s="446"/>
      <c r="H73" s="445"/>
      <c r="I73" s="446"/>
      <c r="J73" s="446"/>
      <c r="K73" s="446">
        <f>I74</f>
        <v>13500</v>
      </c>
      <c r="L73" s="741"/>
      <c r="M73" s="204"/>
      <c r="N73" s="204">
        <f t="shared" si="43"/>
        <v>0</v>
      </c>
      <c r="O73" s="757"/>
      <c r="P73" s="204">
        <f t="shared" si="44"/>
        <v>0</v>
      </c>
      <c r="Q73" s="466"/>
      <c r="R73" s="466">
        <v>13500</v>
      </c>
      <c r="S73" s="66"/>
      <c r="T73" s="66">
        <f t="shared" si="41"/>
        <v>13500</v>
      </c>
      <c r="U73" s="205">
        <f t="shared" si="45"/>
        <v>13500</v>
      </c>
      <c r="V73" s="205">
        <f t="shared" si="35"/>
        <v>13500</v>
      </c>
      <c r="W73" s="202">
        <f>E73+G73+K73</f>
        <v>13500</v>
      </c>
      <c r="X73" s="467"/>
      <c r="Y73" s="467"/>
      <c r="Z73" s="208">
        <v>13500</v>
      </c>
      <c r="AA73" s="205"/>
    </row>
    <row r="74" spans="1:27" s="722" customFormat="1">
      <c r="A74" s="217">
        <f>A72+1</f>
        <v>628</v>
      </c>
      <c r="B74" s="722" t="s">
        <v>1030</v>
      </c>
      <c r="C74" s="219">
        <f>SUM(C70:C72)</f>
        <v>2288344.8693473814</v>
      </c>
      <c r="D74" s="219">
        <f t="shared" ref="D74" si="46">SUM(D70:D72)</f>
        <v>2225220.0300766211</v>
      </c>
      <c r="E74" s="219">
        <f>SUM(E70:E73)</f>
        <v>560139</v>
      </c>
      <c r="F74" s="219">
        <f t="shared" ref="F74:H74" si="47">SUM(F70:F73)</f>
        <v>627650.116588832</v>
      </c>
      <c r="G74" s="219">
        <f t="shared" si="47"/>
        <v>577650.116588832</v>
      </c>
      <c r="H74" s="219">
        <f t="shared" si="47"/>
        <v>0</v>
      </c>
      <c r="I74" s="219">
        <f>SUM(I70:I73)</f>
        <v>13500</v>
      </c>
      <c r="J74" s="219">
        <f t="shared" ref="J74:K74" si="48">SUM(J70:J73)</f>
        <v>621176.04264168791</v>
      </c>
      <c r="K74" s="219">
        <f t="shared" si="48"/>
        <v>634676.04264168791</v>
      </c>
      <c r="L74" s="220">
        <f>SUM(L70:L73)</f>
        <v>7500</v>
      </c>
      <c r="M74" s="220">
        <f t="shared" ref="M74:N74" si="49">SUM(M70:M73)</f>
        <v>640346.08968040161</v>
      </c>
      <c r="N74" s="220">
        <f t="shared" si="49"/>
        <v>647846.08968040161</v>
      </c>
      <c r="O74" s="759"/>
      <c r="P74" s="220">
        <f t="shared" si="44"/>
        <v>647846.08968040161</v>
      </c>
      <c r="Q74" s="222">
        <f>SUM(Q70:Q73)</f>
        <v>653701.61470822652</v>
      </c>
      <c r="R74" s="222">
        <f t="shared" ref="R74:V74" si="50">SUM(R70:R73)</f>
        <v>13500</v>
      </c>
      <c r="S74" s="222">
        <f t="shared" si="50"/>
        <v>672540.53260095289</v>
      </c>
      <c r="T74" s="222">
        <f t="shared" si="50"/>
        <v>686040.53260095289</v>
      </c>
      <c r="U74" s="222">
        <f t="shared" si="45"/>
        <v>1339742.1473091794</v>
      </c>
      <c r="V74" s="222">
        <f t="shared" si="50"/>
        <v>1987588.236989581</v>
      </c>
      <c r="W74" s="219">
        <f>E74+G74+K74</f>
        <v>1772465.1592305198</v>
      </c>
      <c r="X74" s="222"/>
      <c r="Y74" s="760"/>
      <c r="Z74" s="224">
        <v>1351142.1473091794</v>
      </c>
      <c r="AA74" s="222">
        <v>2001340.3459635605</v>
      </c>
    </row>
    <row r="75" spans="1:27">
      <c r="A75" s="201">
        <f t="shared" ref="A75:A77" si="51">A74+1</f>
        <v>629</v>
      </c>
      <c r="L75" s="464"/>
      <c r="M75" s="464"/>
      <c r="N75" s="464">
        <f t="shared" si="43"/>
        <v>0</v>
      </c>
      <c r="O75" s="717"/>
      <c r="P75" s="464">
        <f t="shared" si="44"/>
        <v>0</v>
      </c>
      <c r="Q75" s="466"/>
      <c r="R75" s="466"/>
      <c r="S75" s="466"/>
      <c r="T75" s="466"/>
      <c r="U75" s="466">
        <f t="shared" si="45"/>
        <v>0</v>
      </c>
      <c r="V75" s="466">
        <f t="shared" si="35"/>
        <v>0</v>
      </c>
      <c r="X75" s="466"/>
      <c r="Y75" s="467"/>
      <c r="AA75" s="466"/>
    </row>
    <row r="76" spans="1:27">
      <c r="A76" s="201">
        <f t="shared" si="51"/>
        <v>630</v>
      </c>
      <c r="B76" s="461" t="s">
        <v>1031</v>
      </c>
      <c r="D76" s="89">
        <v>0</v>
      </c>
      <c r="L76" s="464"/>
      <c r="M76" s="464"/>
      <c r="N76" s="464">
        <f t="shared" si="43"/>
        <v>0</v>
      </c>
      <c r="O76" s="717"/>
      <c r="P76" s="464">
        <f t="shared" si="44"/>
        <v>0</v>
      </c>
      <c r="Q76" s="466"/>
      <c r="R76" s="466"/>
      <c r="S76" s="466"/>
      <c r="T76" s="466"/>
      <c r="U76" s="466">
        <f t="shared" si="45"/>
        <v>0</v>
      </c>
      <c r="V76" s="466">
        <f t="shared" si="35"/>
        <v>0</v>
      </c>
      <c r="X76" s="466"/>
      <c r="Y76" s="467"/>
      <c r="AA76" s="466"/>
    </row>
    <row r="77" spans="1:27" ht="20.75" customHeight="1">
      <c r="A77" s="201">
        <f t="shared" si="51"/>
        <v>631</v>
      </c>
      <c r="B77" s="446" t="s">
        <v>1032</v>
      </c>
      <c r="C77" s="89">
        <v>1800000</v>
      </c>
      <c r="D77" s="89">
        <v>2032000</v>
      </c>
      <c r="E77" s="202">
        <v>516517</v>
      </c>
      <c r="F77" s="202">
        <v>620000</v>
      </c>
      <c r="G77" s="202">
        <v>620000</v>
      </c>
      <c r="H77" s="203"/>
      <c r="I77" s="202"/>
      <c r="J77" s="202">
        <v>620000</v>
      </c>
      <c r="K77" s="202">
        <f>J77</f>
        <v>620000</v>
      </c>
      <c r="L77" s="204"/>
      <c r="M77" s="204">
        <v>620000</v>
      </c>
      <c r="N77" s="204">
        <f t="shared" si="43"/>
        <v>620000</v>
      </c>
      <c r="O77" s="717" t="s">
        <v>1033</v>
      </c>
      <c r="P77" s="204">
        <f t="shared" si="44"/>
        <v>620000</v>
      </c>
      <c r="Q77" s="466">
        <v>620000</v>
      </c>
      <c r="R77" s="466"/>
      <c r="S77" s="66">
        <v>620000</v>
      </c>
      <c r="T77" s="66">
        <f t="shared" ref="T77:T81" si="52">R77+S77</f>
        <v>620000</v>
      </c>
      <c r="U77" s="205">
        <f t="shared" si="45"/>
        <v>1240000</v>
      </c>
      <c r="V77" s="205">
        <f t="shared" si="35"/>
        <v>1860000</v>
      </c>
      <c r="W77" s="202">
        <f t="shared" ref="W77:W82" si="53">E77+G77+K77</f>
        <v>1756517</v>
      </c>
      <c r="X77" s="205"/>
      <c r="Y77" s="467" t="s">
        <v>1033</v>
      </c>
      <c r="Z77" s="208">
        <v>1240000</v>
      </c>
      <c r="AA77" s="205">
        <v>1860000</v>
      </c>
    </row>
    <row r="78" spans="1:27" ht="18.399999999999999" customHeight="1">
      <c r="A78" s="201" t="s">
        <v>1034</v>
      </c>
      <c r="B78" s="446" t="s">
        <v>443</v>
      </c>
      <c r="D78" s="89">
        <v>0</v>
      </c>
      <c r="E78" s="202"/>
      <c r="F78" s="202"/>
      <c r="G78" s="202">
        <v>0</v>
      </c>
      <c r="H78" s="203"/>
      <c r="I78" s="202">
        <v>14000</v>
      </c>
      <c r="J78" s="202">
        <v>7000</v>
      </c>
      <c r="K78" s="202">
        <f t="shared" ref="K78:K81" si="54">J78</f>
        <v>7000</v>
      </c>
      <c r="L78" s="204">
        <v>14000</v>
      </c>
      <c r="M78" s="204">
        <v>6300</v>
      </c>
      <c r="N78" s="204">
        <f t="shared" si="43"/>
        <v>20300</v>
      </c>
      <c r="O78" s="717" t="s">
        <v>1028</v>
      </c>
      <c r="P78" s="204">
        <f t="shared" si="44"/>
        <v>20300</v>
      </c>
      <c r="Q78" s="466">
        <v>4000</v>
      </c>
      <c r="R78" s="466"/>
      <c r="S78" s="66">
        <v>4000</v>
      </c>
      <c r="T78" s="66">
        <f t="shared" si="52"/>
        <v>4000</v>
      </c>
      <c r="U78" s="205">
        <f t="shared" si="45"/>
        <v>8000</v>
      </c>
      <c r="V78" s="205">
        <f t="shared" si="35"/>
        <v>28300</v>
      </c>
      <c r="W78" s="202">
        <f t="shared" si="53"/>
        <v>7000</v>
      </c>
      <c r="X78" s="467"/>
      <c r="Y78" s="467" t="s">
        <v>1028</v>
      </c>
      <c r="Z78" s="208">
        <v>4000</v>
      </c>
      <c r="AA78" s="205">
        <v>856000</v>
      </c>
    </row>
    <row r="79" spans="1:27" ht="19.05" customHeight="1">
      <c r="A79" s="201" t="s">
        <v>1035</v>
      </c>
      <c r="B79" s="446" t="s">
        <v>636</v>
      </c>
      <c r="C79" s="89">
        <f>873000-50000</f>
        <v>823000</v>
      </c>
      <c r="D79" s="89">
        <v>846000</v>
      </c>
      <c r="E79" s="227">
        <v>264460</v>
      </c>
      <c r="F79" s="202">
        <v>285000</v>
      </c>
      <c r="G79" s="202">
        <v>215000</v>
      </c>
      <c r="H79" s="203" t="s">
        <v>1036</v>
      </c>
      <c r="I79" s="202">
        <v>0</v>
      </c>
      <c r="J79" s="202">
        <v>277000</v>
      </c>
      <c r="K79" s="202">
        <f t="shared" si="54"/>
        <v>277000</v>
      </c>
      <c r="L79" s="204">
        <v>0</v>
      </c>
      <c r="M79" s="204">
        <f>280000+70000</f>
        <v>350000</v>
      </c>
      <c r="N79" s="204">
        <f t="shared" si="43"/>
        <v>350000</v>
      </c>
      <c r="O79" s="717" t="s">
        <v>1037</v>
      </c>
      <c r="P79" s="204">
        <f t="shared" si="44"/>
        <v>350000</v>
      </c>
      <c r="Q79" s="466">
        <v>280000</v>
      </c>
      <c r="R79" s="466"/>
      <c r="S79" s="466">
        <v>280000</v>
      </c>
      <c r="T79" s="66">
        <f t="shared" si="52"/>
        <v>280000</v>
      </c>
      <c r="U79" s="205">
        <f t="shared" si="45"/>
        <v>560000</v>
      </c>
      <c r="V79" s="205">
        <f t="shared" si="35"/>
        <v>910000</v>
      </c>
      <c r="W79" s="202">
        <f t="shared" si="53"/>
        <v>756460</v>
      </c>
      <c r="X79" s="205"/>
      <c r="Y79" s="467" t="s">
        <v>1037</v>
      </c>
      <c r="Z79" s="208">
        <v>560000</v>
      </c>
      <c r="AA79" s="205"/>
    </row>
    <row r="80" spans="1:27">
      <c r="A80" s="201" t="s">
        <v>1038</v>
      </c>
      <c r="B80" s="446" t="s">
        <v>919</v>
      </c>
      <c r="E80" s="227"/>
      <c r="F80" s="202"/>
      <c r="G80" s="202"/>
      <c r="H80" s="203"/>
      <c r="I80" s="202"/>
      <c r="J80" s="202"/>
      <c r="K80" s="202">
        <f>I82</f>
        <v>14000</v>
      </c>
      <c r="L80" s="204"/>
      <c r="M80" s="204"/>
      <c r="N80" s="204">
        <f t="shared" si="43"/>
        <v>0</v>
      </c>
      <c r="O80" s="717"/>
      <c r="P80" s="204">
        <f t="shared" si="44"/>
        <v>0</v>
      </c>
      <c r="Q80" s="466"/>
      <c r="R80" s="470">
        <v>5000</v>
      </c>
      <c r="S80" s="586"/>
      <c r="T80" s="586">
        <f t="shared" si="52"/>
        <v>5000</v>
      </c>
      <c r="U80" s="213">
        <f t="shared" si="45"/>
        <v>5000</v>
      </c>
      <c r="V80" s="205">
        <f t="shared" si="35"/>
        <v>5000</v>
      </c>
      <c r="W80" s="202">
        <f t="shared" si="53"/>
        <v>14000</v>
      </c>
      <c r="X80" s="761" t="s">
        <v>1039</v>
      </c>
      <c r="Y80" s="467"/>
      <c r="Z80" s="208">
        <v>14000</v>
      </c>
      <c r="AA80" s="245">
        <f>Z80+L80</f>
        <v>14000</v>
      </c>
    </row>
    <row r="81" spans="1:27" ht="21" customHeight="1">
      <c r="A81" s="201">
        <v>633</v>
      </c>
      <c r="B81" s="446" t="s">
        <v>190</v>
      </c>
      <c r="C81" s="89">
        <f>'[4]Salary Summary GC Adopted'!Y25</f>
        <v>1313154.4757400374</v>
      </c>
      <c r="D81" s="89">
        <v>1408784.7002993794</v>
      </c>
      <c r="E81" s="89">
        <v>500311</v>
      </c>
      <c r="F81" s="89">
        <f>'[3]Salary Summary 19 for 2019-2021'!L27</f>
        <v>532793.71954798803</v>
      </c>
      <c r="G81" s="89">
        <v>532793.71954798803</v>
      </c>
      <c r="I81" s="202"/>
      <c r="J81" s="202">
        <f>'[3]Salary Summary 20 for 2019-2021'!P27</f>
        <v>546721.86633442761</v>
      </c>
      <c r="K81" s="202">
        <f t="shared" si="54"/>
        <v>546721.86633442761</v>
      </c>
      <c r="L81" s="204"/>
      <c r="M81" s="204">
        <f>'Salary Summary 21 for 2022-2024'!M28</f>
        <v>565194.38236024685</v>
      </c>
      <c r="N81" s="204">
        <f t="shared" si="43"/>
        <v>565194.38236024685</v>
      </c>
      <c r="O81" s="212"/>
      <c r="P81" s="204">
        <f t="shared" si="44"/>
        <v>565194.38236024685</v>
      </c>
      <c r="Q81" s="466">
        <f>'Salary Summary 21 for 2022-2024'!Q28</f>
        <v>583674.63832380471</v>
      </c>
      <c r="R81" s="466"/>
      <c r="S81" s="66">
        <f>'Salary Summary 21 for 2022-2024'!U28</f>
        <v>602418.08647598582</v>
      </c>
      <c r="T81" s="66">
        <f t="shared" si="52"/>
        <v>602418.08647598582</v>
      </c>
      <c r="U81" s="205">
        <f t="shared" si="45"/>
        <v>1186092.7247997904</v>
      </c>
      <c r="V81" s="205">
        <f t="shared" si="35"/>
        <v>1751287.1071600374</v>
      </c>
      <c r="W81" s="202">
        <f t="shared" si="53"/>
        <v>1579826.5858824155</v>
      </c>
      <c r="X81" s="205"/>
      <c r="Y81" s="467"/>
      <c r="Z81" s="208">
        <v>1186092.7247997904</v>
      </c>
      <c r="AA81" s="205">
        <v>1508061.4029220724</v>
      </c>
    </row>
    <row r="82" spans="1:27" s="722" customFormat="1">
      <c r="A82" s="217">
        <f t="shared" ref="A82:A143" si="55">A81+1</f>
        <v>634</v>
      </c>
      <c r="B82" s="722" t="s">
        <v>1040</v>
      </c>
      <c r="C82" s="723">
        <f>SUM(C77:C81)</f>
        <v>3936154.4757400374</v>
      </c>
      <c r="D82" s="723">
        <v>4286784.7002993794</v>
      </c>
      <c r="E82" s="723">
        <f t="shared" ref="E82:N82" si="56">SUM(E77:E81)</f>
        <v>1281288</v>
      </c>
      <c r="F82" s="723">
        <f t="shared" si="56"/>
        <v>1437793.7195479879</v>
      </c>
      <c r="G82" s="723">
        <f>SUM(G77:G81)</f>
        <v>1367793.7195479879</v>
      </c>
      <c r="H82" s="723">
        <f t="shared" ref="H82" si="57">SUM(H77:H81)</f>
        <v>0</v>
      </c>
      <c r="I82" s="723">
        <f t="shared" si="56"/>
        <v>14000</v>
      </c>
      <c r="J82" s="723">
        <f t="shared" si="56"/>
        <v>1450721.8663344276</v>
      </c>
      <c r="K82" s="723">
        <f t="shared" si="56"/>
        <v>1464721.8663344276</v>
      </c>
      <c r="L82" s="724">
        <f t="shared" si="56"/>
        <v>14000</v>
      </c>
      <c r="M82" s="724">
        <f t="shared" si="56"/>
        <v>1541494.382360247</v>
      </c>
      <c r="N82" s="724">
        <f t="shared" si="56"/>
        <v>1555494.382360247</v>
      </c>
      <c r="O82" s="725"/>
      <c r="P82" s="724">
        <f t="shared" si="44"/>
        <v>1555494.382360247</v>
      </c>
      <c r="Q82" s="513">
        <f>SUM(Q77:Q81)</f>
        <v>1487674.6383238048</v>
      </c>
      <c r="R82" s="513">
        <f t="shared" ref="R82:V82" si="58">SUM(R77:R81)</f>
        <v>5000</v>
      </c>
      <c r="S82" s="513">
        <f t="shared" si="58"/>
        <v>1506418.0864759858</v>
      </c>
      <c r="T82" s="513">
        <f t="shared" si="58"/>
        <v>1511418.0864759858</v>
      </c>
      <c r="U82" s="513">
        <f t="shared" si="45"/>
        <v>2999092.7247997904</v>
      </c>
      <c r="V82" s="513">
        <f t="shared" si="58"/>
        <v>4554587.1071600374</v>
      </c>
      <c r="W82" s="723">
        <f t="shared" si="53"/>
        <v>4113803.5858824155</v>
      </c>
      <c r="X82" s="513"/>
      <c r="Y82" s="726"/>
      <c r="Z82" s="727">
        <v>3004092.7247997904</v>
      </c>
      <c r="AA82" s="513">
        <v>4224061.4029220724</v>
      </c>
    </row>
    <row r="83" spans="1:27">
      <c r="A83" s="201">
        <f t="shared" si="55"/>
        <v>635</v>
      </c>
      <c r="L83" s="464"/>
      <c r="M83" s="464"/>
      <c r="N83" s="464">
        <f t="shared" si="43"/>
        <v>0</v>
      </c>
      <c r="O83" s="717"/>
      <c r="P83" s="464">
        <f t="shared" si="44"/>
        <v>0</v>
      </c>
      <c r="Q83" s="466"/>
      <c r="R83" s="466"/>
      <c r="S83" s="466"/>
      <c r="T83" s="466"/>
      <c r="U83" s="466">
        <f t="shared" si="45"/>
        <v>0</v>
      </c>
      <c r="V83" s="466">
        <f t="shared" si="35"/>
        <v>0</v>
      </c>
      <c r="X83" s="466"/>
      <c r="Y83" s="467"/>
      <c r="AA83" s="466"/>
    </row>
    <row r="84" spans="1:27" ht="16.149999999999999" customHeight="1">
      <c r="A84" s="201">
        <f t="shared" si="55"/>
        <v>636</v>
      </c>
      <c r="B84" s="461" t="s">
        <v>1041</v>
      </c>
      <c r="H84" s="256" t="s">
        <v>1042</v>
      </c>
      <c r="L84" s="464"/>
      <c r="M84" s="464"/>
      <c r="N84" s="464">
        <f t="shared" si="43"/>
        <v>0</v>
      </c>
      <c r="O84" s="717"/>
      <c r="P84" s="464">
        <f t="shared" si="44"/>
        <v>0</v>
      </c>
      <c r="Q84" s="466"/>
      <c r="R84" s="466"/>
      <c r="S84" s="466"/>
      <c r="T84" s="66">
        <f t="shared" ref="T84:T99" si="59">R84+S84</f>
        <v>0</v>
      </c>
      <c r="U84" s="205">
        <f t="shared" si="45"/>
        <v>0</v>
      </c>
      <c r="V84" s="205">
        <f t="shared" si="35"/>
        <v>0</v>
      </c>
      <c r="X84" s="205"/>
      <c r="Y84" s="467"/>
      <c r="Z84" s="257">
        <v>0</v>
      </c>
      <c r="AA84" s="205"/>
    </row>
    <row r="85" spans="1:27">
      <c r="A85" s="201">
        <f t="shared" si="55"/>
        <v>637</v>
      </c>
      <c r="B85" s="446" t="s">
        <v>1043</v>
      </c>
      <c r="C85" s="89">
        <v>1069000</v>
      </c>
      <c r="D85" s="89">
        <v>0</v>
      </c>
      <c r="E85" s="227"/>
      <c r="F85" s="227"/>
      <c r="G85" s="227"/>
      <c r="H85" s="228"/>
      <c r="I85" s="227"/>
      <c r="J85" s="227"/>
      <c r="K85" s="227"/>
      <c r="L85" s="229"/>
      <c r="M85" s="229"/>
      <c r="N85" s="229">
        <f t="shared" si="43"/>
        <v>0</v>
      </c>
      <c r="O85" s="762"/>
      <c r="P85" s="229">
        <f t="shared" si="44"/>
        <v>0</v>
      </c>
      <c r="Q85" s="466"/>
      <c r="R85" s="466"/>
      <c r="S85" s="66">
        <v>0</v>
      </c>
      <c r="T85" s="66">
        <f t="shared" si="59"/>
        <v>0</v>
      </c>
      <c r="U85" s="205">
        <f t="shared" si="45"/>
        <v>0</v>
      </c>
      <c r="V85" s="205">
        <f t="shared" si="35"/>
        <v>0</v>
      </c>
      <c r="W85" s="227"/>
      <c r="X85" s="205"/>
      <c r="Y85" s="467"/>
      <c r="Z85" s="231">
        <v>0</v>
      </c>
      <c r="AA85" s="205">
        <v>0</v>
      </c>
    </row>
    <row r="86" spans="1:27">
      <c r="A86" s="201" t="s">
        <v>1044</v>
      </c>
      <c r="B86" s="446" t="s">
        <v>1045</v>
      </c>
      <c r="E86" s="227"/>
      <c r="F86" s="227"/>
      <c r="G86" s="227"/>
      <c r="H86" s="228"/>
      <c r="I86" s="227"/>
      <c r="J86" s="227"/>
      <c r="K86" s="227"/>
      <c r="L86" s="229"/>
      <c r="M86" s="229"/>
      <c r="N86" s="229">
        <f t="shared" si="43"/>
        <v>0</v>
      </c>
      <c r="O86" s="762"/>
      <c r="P86" s="229">
        <f t="shared" si="44"/>
        <v>0</v>
      </c>
      <c r="Q86" s="466"/>
      <c r="R86" s="466"/>
      <c r="S86" s="66">
        <v>0</v>
      </c>
      <c r="T86" s="66">
        <f t="shared" si="59"/>
        <v>0</v>
      </c>
      <c r="U86" s="205">
        <f t="shared" si="45"/>
        <v>0</v>
      </c>
      <c r="V86" s="205">
        <f t="shared" si="35"/>
        <v>0</v>
      </c>
      <c r="W86" s="227">
        <f>E86+G86+K86</f>
        <v>0</v>
      </c>
      <c r="X86" s="205"/>
      <c r="Y86" s="467"/>
      <c r="Z86" s="231">
        <v>0</v>
      </c>
      <c r="AA86" s="205"/>
    </row>
    <row r="87" spans="1:27" ht="31.5">
      <c r="A87" s="201">
        <f>A85+1</f>
        <v>638</v>
      </c>
      <c r="B87" s="446" t="s">
        <v>280</v>
      </c>
      <c r="D87" s="89">
        <v>300000</v>
      </c>
      <c r="E87" s="227">
        <f>1011696-943872</f>
        <v>67824</v>
      </c>
      <c r="F87" s="227">
        <v>100000</v>
      </c>
      <c r="G87" s="227">
        <v>100000</v>
      </c>
      <c r="H87" s="228"/>
      <c r="I87" s="227"/>
      <c r="J87" s="227">
        <v>100000</v>
      </c>
      <c r="K87" s="227">
        <f>J87</f>
        <v>100000</v>
      </c>
      <c r="L87" s="229"/>
      <c r="M87" s="229">
        <v>100000</v>
      </c>
      <c r="N87" s="229">
        <f t="shared" si="43"/>
        <v>100000</v>
      </c>
      <c r="O87" s="717" t="s">
        <v>1046</v>
      </c>
      <c r="P87" s="229">
        <f t="shared" si="44"/>
        <v>100000</v>
      </c>
      <c r="Q87" s="466">
        <v>100000</v>
      </c>
      <c r="R87" s="466"/>
      <c r="S87" s="66">
        <v>100000</v>
      </c>
      <c r="T87" s="66">
        <f t="shared" si="59"/>
        <v>100000</v>
      </c>
      <c r="U87" s="205">
        <f t="shared" si="45"/>
        <v>200000</v>
      </c>
      <c r="V87" s="205">
        <f t="shared" si="35"/>
        <v>300000</v>
      </c>
      <c r="W87" s="227"/>
      <c r="X87" s="205"/>
      <c r="Y87" s="467" t="s">
        <v>1046</v>
      </c>
      <c r="Z87" s="231">
        <v>200000</v>
      </c>
      <c r="AA87" s="205">
        <v>300000</v>
      </c>
    </row>
    <row r="88" spans="1:27" ht="33.4" customHeight="1">
      <c r="A88" s="201">
        <f t="shared" si="55"/>
        <v>639</v>
      </c>
      <c r="B88" s="446" t="s">
        <v>443</v>
      </c>
      <c r="D88" s="89">
        <v>15000</v>
      </c>
      <c r="E88" s="227"/>
      <c r="F88" s="227">
        <v>6250</v>
      </c>
      <c r="G88" s="227">
        <v>0</v>
      </c>
      <c r="H88" s="228"/>
      <c r="I88" s="227">
        <v>22000</v>
      </c>
      <c r="J88" s="227">
        <v>3125</v>
      </c>
      <c r="K88" s="227">
        <f t="shared" ref="K88:K99" si="60">J88</f>
        <v>3125</v>
      </c>
      <c r="L88" s="229">
        <v>22000</v>
      </c>
      <c r="M88" s="229">
        <v>4000</v>
      </c>
      <c r="N88" s="229">
        <f t="shared" si="43"/>
        <v>26000</v>
      </c>
      <c r="O88" s="717" t="s">
        <v>1047</v>
      </c>
      <c r="P88" s="229">
        <f t="shared" si="44"/>
        <v>26000</v>
      </c>
      <c r="Q88" s="466">
        <v>4000</v>
      </c>
      <c r="R88" s="466">
        <v>15000</v>
      </c>
      <c r="S88" s="66">
        <v>4000</v>
      </c>
      <c r="T88" s="66">
        <f t="shared" si="59"/>
        <v>19000</v>
      </c>
      <c r="U88" s="205">
        <f t="shared" si="45"/>
        <v>23000</v>
      </c>
      <c r="V88" s="205">
        <f t="shared" si="35"/>
        <v>49000</v>
      </c>
      <c r="W88" s="227"/>
      <c r="X88" s="761" t="s">
        <v>1048</v>
      </c>
      <c r="Y88" s="467" t="s">
        <v>1047</v>
      </c>
      <c r="Z88" s="231">
        <v>28000</v>
      </c>
      <c r="AA88" s="205">
        <v>15000</v>
      </c>
    </row>
    <row r="89" spans="1:27" ht="55.5" customHeight="1">
      <c r="A89" s="201">
        <f t="shared" si="55"/>
        <v>640</v>
      </c>
      <c r="B89" s="446" t="s">
        <v>520</v>
      </c>
      <c r="D89" s="89">
        <v>181440</v>
      </c>
      <c r="E89" s="227">
        <v>12294</v>
      </c>
      <c r="F89" s="227">
        <v>60480</v>
      </c>
      <c r="G89" s="227">
        <v>60480</v>
      </c>
      <c r="H89" s="228"/>
      <c r="I89" s="227"/>
      <c r="J89" s="227">
        <v>60480</v>
      </c>
      <c r="K89" s="227">
        <f t="shared" si="60"/>
        <v>60480</v>
      </c>
      <c r="L89" s="229"/>
      <c r="M89" s="229">
        <v>60480</v>
      </c>
      <c r="N89" s="229">
        <f t="shared" si="43"/>
        <v>60480</v>
      </c>
      <c r="O89" s="717" t="s">
        <v>1049</v>
      </c>
      <c r="P89" s="229">
        <f t="shared" si="44"/>
        <v>60480</v>
      </c>
      <c r="Q89" s="466">
        <v>60480</v>
      </c>
      <c r="R89" s="466"/>
      <c r="S89" s="66">
        <v>60480</v>
      </c>
      <c r="T89" s="66">
        <f t="shared" si="59"/>
        <v>60480</v>
      </c>
      <c r="U89" s="205">
        <f t="shared" si="45"/>
        <v>120960</v>
      </c>
      <c r="V89" s="205">
        <f t="shared" si="35"/>
        <v>181440</v>
      </c>
      <c r="W89" s="227">
        <f>E89+G89+K89</f>
        <v>133254</v>
      </c>
      <c r="X89" s="205"/>
      <c r="Y89" s="467" t="s">
        <v>1049</v>
      </c>
      <c r="Z89" s="231">
        <v>120960</v>
      </c>
      <c r="AA89" s="205">
        <v>181440</v>
      </c>
    </row>
    <row r="90" spans="1:27">
      <c r="A90" s="201">
        <f t="shared" si="55"/>
        <v>641</v>
      </c>
      <c r="B90" s="446" t="s">
        <v>1050</v>
      </c>
      <c r="D90" s="89">
        <v>105000</v>
      </c>
      <c r="E90" s="227"/>
      <c r="F90" s="227">
        <v>35000</v>
      </c>
      <c r="G90" s="227">
        <v>35000</v>
      </c>
      <c r="H90" s="228"/>
      <c r="I90" s="227"/>
      <c r="J90" s="227">
        <v>30000</v>
      </c>
      <c r="K90" s="227">
        <f t="shared" si="60"/>
        <v>30000</v>
      </c>
      <c r="L90" s="229"/>
      <c r="M90" s="229">
        <v>30000</v>
      </c>
      <c r="N90" s="229">
        <f t="shared" si="43"/>
        <v>30000</v>
      </c>
      <c r="O90" s="717"/>
      <c r="P90" s="229">
        <f t="shared" si="44"/>
        <v>30000</v>
      </c>
      <c r="Q90" s="466">
        <v>30000</v>
      </c>
      <c r="R90" s="466"/>
      <c r="S90" s="66">
        <v>30000</v>
      </c>
      <c r="T90" s="66">
        <f t="shared" si="59"/>
        <v>30000</v>
      </c>
      <c r="U90" s="205">
        <f t="shared" si="45"/>
        <v>60000</v>
      </c>
      <c r="V90" s="205">
        <f t="shared" si="35"/>
        <v>90000</v>
      </c>
      <c r="W90" s="227"/>
      <c r="X90" s="205"/>
      <c r="Y90" s="467"/>
      <c r="Z90" s="231">
        <v>60000</v>
      </c>
      <c r="AA90" s="205">
        <v>105000</v>
      </c>
    </row>
    <row r="91" spans="1:27" ht="31.5">
      <c r="A91" s="201">
        <f t="shared" si="55"/>
        <v>642</v>
      </c>
      <c r="B91" s="446" t="s">
        <v>1051</v>
      </c>
      <c r="D91" s="89">
        <v>4500</v>
      </c>
      <c r="E91" s="227">
        <v>941</v>
      </c>
      <c r="F91" s="227">
        <v>1500</v>
      </c>
      <c r="G91" s="227">
        <v>1500</v>
      </c>
      <c r="H91" s="228"/>
      <c r="I91" s="227"/>
      <c r="J91" s="227">
        <v>3000</v>
      </c>
      <c r="K91" s="227">
        <f t="shared" si="60"/>
        <v>3000</v>
      </c>
      <c r="L91" s="229"/>
      <c r="M91" s="229">
        <v>5000</v>
      </c>
      <c r="N91" s="229">
        <f t="shared" si="43"/>
        <v>5000</v>
      </c>
      <c r="O91" s="717" t="s">
        <v>1052</v>
      </c>
      <c r="P91" s="229">
        <f t="shared" si="44"/>
        <v>5000</v>
      </c>
      <c r="Q91" s="466">
        <v>5000</v>
      </c>
      <c r="R91" s="466"/>
      <c r="S91" s="66">
        <v>5000</v>
      </c>
      <c r="T91" s="66">
        <f t="shared" si="59"/>
        <v>5000</v>
      </c>
      <c r="U91" s="205">
        <f t="shared" si="45"/>
        <v>10000</v>
      </c>
      <c r="V91" s="205">
        <f t="shared" si="35"/>
        <v>15000</v>
      </c>
      <c r="W91" s="227"/>
      <c r="X91" s="205"/>
      <c r="Y91" s="467" t="s">
        <v>1052</v>
      </c>
      <c r="Z91" s="231">
        <v>10000</v>
      </c>
      <c r="AA91" s="205">
        <v>4500</v>
      </c>
    </row>
    <row r="92" spans="1:27">
      <c r="A92" s="201">
        <f t="shared" si="55"/>
        <v>643</v>
      </c>
      <c r="B92" s="446" t="s">
        <v>1053</v>
      </c>
      <c r="D92" s="89">
        <v>30000</v>
      </c>
      <c r="E92" s="227">
        <v>5961</v>
      </c>
      <c r="F92" s="227">
        <v>10000</v>
      </c>
      <c r="G92" s="227">
        <v>10000</v>
      </c>
      <c r="H92" s="228"/>
      <c r="I92" s="227"/>
      <c r="J92" s="227">
        <v>10000</v>
      </c>
      <c r="K92" s="227">
        <f t="shared" si="60"/>
        <v>10000</v>
      </c>
      <c r="L92" s="229"/>
      <c r="M92" s="229">
        <v>10000</v>
      </c>
      <c r="N92" s="229">
        <f t="shared" si="43"/>
        <v>10000</v>
      </c>
      <c r="O92" s="717"/>
      <c r="P92" s="229">
        <f t="shared" si="44"/>
        <v>10000</v>
      </c>
      <c r="Q92" s="466">
        <v>10000</v>
      </c>
      <c r="R92" s="466"/>
      <c r="S92" s="66">
        <v>10000</v>
      </c>
      <c r="T92" s="66">
        <f t="shared" si="59"/>
        <v>10000</v>
      </c>
      <c r="U92" s="205">
        <f t="shared" si="45"/>
        <v>20000</v>
      </c>
      <c r="V92" s="205">
        <f t="shared" si="35"/>
        <v>30000</v>
      </c>
      <c r="W92" s="227"/>
      <c r="X92" s="205"/>
      <c r="Y92" s="467"/>
      <c r="Z92" s="231">
        <v>20000</v>
      </c>
      <c r="AA92" s="205">
        <v>30000</v>
      </c>
    </row>
    <row r="93" spans="1:27">
      <c r="A93" s="201">
        <f t="shared" si="55"/>
        <v>644</v>
      </c>
      <c r="B93" s="446" t="s">
        <v>1054</v>
      </c>
      <c r="D93" s="89">
        <v>90000</v>
      </c>
      <c r="E93" s="227">
        <v>21200</v>
      </c>
      <c r="F93" s="227">
        <v>35000</v>
      </c>
      <c r="G93" s="227">
        <v>35000</v>
      </c>
      <c r="H93" s="228"/>
      <c r="I93" s="227"/>
      <c r="J93" s="227">
        <v>35000</v>
      </c>
      <c r="K93" s="227">
        <f t="shared" si="60"/>
        <v>35000</v>
      </c>
      <c r="L93" s="229"/>
      <c r="M93" s="229">
        <v>37500</v>
      </c>
      <c r="N93" s="229">
        <f t="shared" si="43"/>
        <v>37500</v>
      </c>
      <c r="O93" s="717"/>
      <c r="P93" s="229">
        <f t="shared" si="44"/>
        <v>37500</v>
      </c>
      <c r="Q93" s="466">
        <v>37500</v>
      </c>
      <c r="R93" s="466"/>
      <c r="S93" s="66">
        <v>37500</v>
      </c>
      <c r="T93" s="66">
        <f t="shared" si="59"/>
        <v>37500</v>
      </c>
      <c r="U93" s="205">
        <f t="shared" si="45"/>
        <v>75000</v>
      </c>
      <c r="V93" s="205">
        <f t="shared" si="35"/>
        <v>112500</v>
      </c>
      <c r="W93" s="227"/>
      <c r="X93" s="205"/>
      <c r="Y93" s="467"/>
      <c r="Z93" s="231">
        <v>75000</v>
      </c>
      <c r="AA93" s="205">
        <v>90000</v>
      </c>
    </row>
    <row r="94" spans="1:27">
      <c r="A94" s="201">
        <f t="shared" si="55"/>
        <v>645</v>
      </c>
      <c r="B94" s="446" t="s">
        <v>1055</v>
      </c>
      <c r="E94" s="227">
        <v>25360</v>
      </c>
      <c r="F94" s="227"/>
      <c r="G94" s="227"/>
      <c r="H94" s="228"/>
      <c r="I94" s="227"/>
      <c r="J94" s="227"/>
      <c r="K94" s="227">
        <f t="shared" si="60"/>
        <v>0</v>
      </c>
      <c r="L94" s="229"/>
      <c r="M94" s="229"/>
      <c r="N94" s="229">
        <f t="shared" si="43"/>
        <v>0</v>
      </c>
      <c r="O94" s="717"/>
      <c r="P94" s="229">
        <f t="shared" si="44"/>
        <v>0</v>
      </c>
      <c r="Q94" s="466"/>
      <c r="R94" s="466"/>
      <c r="S94" s="66">
        <v>0</v>
      </c>
      <c r="T94" s="66">
        <f t="shared" si="59"/>
        <v>0</v>
      </c>
      <c r="U94" s="205">
        <f t="shared" si="45"/>
        <v>0</v>
      </c>
      <c r="V94" s="205">
        <f t="shared" si="35"/>
        <v>0</v>
      </c>
      <c r="W94" s="227"/>
      <c r="X94" s="205"/>
      <c r="Y94" s="467"/>
      <c r="Z94" s="231">
        <v>0</v>
      </c>
      <c r="AA94" s="205">
        <v>0</v>
      </c>
    </row>
    <row r="95" spans="1:27" ht="61.9" customHeight="1">
      <c r="A95" s="201">
        <f t="shared" si="55"/>
        <v>646</v>
      </c>
      <c r="B95" s="763" t="s">
        <v>1056</v>
      </c>
      <c r="D95" s="89">
        <v>90000</v>
      </c>
      <c r="E95" s="227"/>
      <c r="F95" s="227">
        <v>15000</v>
      </c>
      <c r="G95" s="227">
        <v>15000</v>
      </c>
      <c r="H95" s="228"/>
      <c r="I95" s="227"/>
      <c r="J95" s="227">
        <v>15000</v>
      </c>
      <c r="K95" s="227">
        <f t="shared" si="60"/>
        <v>15000</v>
      </c>
      <c r="L95" s="229"/>
      <c r="M95" s="229">
        <v>45000</v>
      </c>
      <c r="N95" s="229">
        <f t="shared" si="43"/>
        <v>45000</v>
      </c>
      <c r="O95" s="764" t="s">
        <v>1057</v>
      </c>
      <c r="P95" s="229">
        <f t="shared" si="44"/>
        <v>45000</v>
      </c>
      <c r="Q95" s="466">
        <v>15000</v>
      </c>
      <c r="R95" s="466"/>
      <c r="S95" s="66">
        <v>15000</v>
      </c>
      <c r="T95" s="66">
        <f t="shared" si="59"/>
        <v>15000</v>
      </c>
      <c r="U95" s="205">
        <f t="shared" si="45"/>
        <v>30000</v>
      </c>
      <c r="V95" s="205">
        <f t="shared" si="35"/>
        <v>75000</v>
      </c>
      <c r="W95" s="227"/>
      <c r="X95" s="205"/>
      <c r="Y95" s="467" t="s">
        <v>1057</v>
      </c>
      <c r="Z95" s="231">
        <v>30000</v>
      </c>
      <c r="AA95" s="205">
        <v>90000</v>
      </c>
    </row>
    <row r="96" spans="1:27">
      <c r="A96" s="201">
        <f t="shared" si="55"/>
        <v>647</v>
      </c>
      <c r="B96" s="763" t="s">
        <v>1058</v>
      </c>
      <c r="D96" s="89">
        <v>22650</v>
      </c>
      <c r="E96" s="227"/>
      <c r="F96" s="227">
        <v>6500</v>
      </c>
      <c r="G96" s="227">
        <v>6500</v>
      </c>
      <c r="H96" s="228"/>
      <c r="I96" s="227"/>
      <c r="J96" s="227">
        <v>6500</v>
      </c>
      <c r="K96" s="227">
        <f t="shared" si="60"/>
        <v>6500</v>
      </c>
      <c r="L96" s="229"/>
      <c r="M96" s="229">
        <v>6500</v>
      </c>
      <c r="N96" s="229">
        <f t="shared" si="43"/>
        <v>6500</v>
      </c>
      <c r="O96" s="717"/>
      <c r="P96" s="229">
        <f t="shared" si="44"/>
        <v>6500</v>
      </c>
      <c r="Q96" s="466">
        <v>6500</v>
      </c>
      <c r="R96" s="466"/>
      <c r="S96" s="66">
        <v>6500</v>
      </c>
      <c r="T96" s="66">
        <f t="shared" si="59"/>
        <v>6500</v>
      </c>
      <c r="U96" s="205">
        <f t="shared" si="45"/>
        <v>13000</v>
      </c>
      <c r="V96" s="205">
        <f t="shared" si="35"/>
        <v>19500</v>
      </c>
      <c r="W96" s="227"/>
      <c r="X96" s="205"/>
      <c r="Y96" s="467"/>
      <c r="Z96" s="231">
        <v>13000</v>
      </c>
      <c r="AA96" s="205">
        <v>22650</v>
      </c>
    </row>
    <row r="97" spans="1:27" ht="42" customHeight="1">
      <c r="A97" s="201">
        <f t="shared" si="55"/>
        <v>648</v>
      </c>
      <c r="B97" s="446" t="s">
        <v>1059</v>
      </c>
      <c r="D97" s="89">
        <v>205243</v>
      </c>
      <c r="E97" s="227">
        <v>61149</v>
      </c>
      <c r="F97" s="227">
        <v>75626</v>
      </c>
      <c r="G97" s="227">
        <v>75626</v>
      </c>
      <c r="H97" s="228"/>
      <c r="I97" s="227"/>
      <c r="J97" s="227">
        <v>75626</v>
      </c>
      <c r="K97" s="227">
        <f t="shared" si="60"/>
        <v>75626</v>
      </c>
      <c r="L97" s="229"/>
      <c r="M97" s="229">
        <v>75626</v>
      </c>
      <c r="N97" s="229">
        <f t="shared" si="43"/>
        <v>75626</v>
      </c>
      <c r="O97" s="757" t="s">
        <v>1060</v>
      </c>
      <c r="P97" s="229">
        <f t="shared" si="44"/>
        <v>75626</v>
      </c>
      <c r="Q97" s="466">
        <v>76000</v>
      </c>
      <c r="R97" s="466">
        <v>60000</v>
      </c>
      <c r="S97" s="66">
        <v>76000</v>
      </c>
      <c r="T97" s="66">
        <f t="shared" si="59"/>
        <v>136000</v>
      </c>
      <c r="U97" s="205">
        <f t="shared" si="45"/>
        <v>212000</v>
      </c>
      <c r="V97" s="205">
        <f t="shared" si="35"/>
        <v>287626</v>
      </c>
      <c r="W97" s="227"/>
      <c r="X97" s="205"/>
      <c r="Y97" s="467" t="s">
        <v>1060</v>
      </c>
      <c r="Z97" s="231">
        <v>212000</v>
      </c>
      <c r="AA97" s="205">
        <v>205243.2</v>
      </c>
    </row>
    <row r="98" spans="1:27" ht="166.9" customHeight="1">
      <c r="A98" s="201" t="s">
        <v>1061</v>
      </c>
      <c r="B98" s="446" t="s">
        <v>919</v>
      </c>
      <c r="E98" s="227"/>
      <c r="F98" s="227"/>
      <c r="G98" s="227"/>
      <c r="H98" s="228"/>
      <c r="I98" s="227"/>
      <c r="J98" s="227"/>
      <c r="K98" s="227">
        <f>I100</f>
        <v>22000</v>
      </c>
      <c r="L98" s="229"/>
      <c r="M98" s="229"/>
      <c r="N98" s="229">
        <f t="shared" si="43"/>
        <v>0</v>
      </c>
      <c r="O98" s="757" t="s">
        <v>1062</v>
      </c>
      <c r="P98" s="229">
        <f t="shared" si="44"/>
        <v>0</v>
      </c>
      <c r="Q98" s="466"/>
      <c r="R98" s="470">
        <v>80000</v>
      </c>
      <c r="S98" s="66"/>
      <c r="T98" s="66">
        <f t="shared" si="59"/>
        <v>80000</v>
      </c>
      <c r="U98" s="205">
        <f t="shared" si="45"/>
        <v>80000</v>
      </c>
      <c r="V98" s="205">
        <f t="shared" si="35"/>
        <v>80000</v>
      </c>
      <c r="W98" s="227">
        <f>E98+G98+K98</f>
        <v>22000</v>
      </c>
      <c r="X98" s="761" t="s">
        <v>1063</v>
      </c>
      <c r="Y98" s="467" t="s">
        <v>1062</v>
      </c>
      <c r="Z98" s="231">
        <v>0</v>
      </c>
      <c r="AA98" s="205"/>
    </row>
    <row r="99" spans="1:27" ht="19.45" customHeight="1">
      <c r="A99" s="201">
        <f>A97+1</f>
        <v>649</v>
      </c>
      <c r="B99" s="446" t="s">
        <v>419</v>
      </c>
      <c r="C99" s="89">
        <f>'[4]Salary Summary GC Adopted'!Y26</f>
        <v>2230583.5318821394</v>
      </c>
      <c r="D99" s="446">
        <v>2441215.2863339679</v>
      </c>
      <c r="E99" s="446">
        <v>816967</v>
      </c>
      <c r="F99" s="446">
        <f>'[3]Salary Summary 19 for 2019-2021'!L28</f>
        <v>882593.86790141207</v>
      </c>
      <c r="G99" s="446">
        <v>882593.86790141207</v>
      </c>
      <c r="H99" s="445"/>
      <c r="I99" s="446"/>
      <c r="J99" s="446">
        <f>'[3]Salary Summary 20 for 2019-2021'!P28</f>
        <v>919862.50932166597</v>
      </c>
      <c r="K99" s="227">
        <f t="shared" si="60"/>
        <v>919862.50932166597</v>
      </c>
      <c r="L99" s="741"/>
      <c r="M99" s="229">
        <f>'Salary Summary 21 for 2022-2024'!M29</f>
        <v>964945.42956402083</v>
      </c>
      <c r="N99" s="229">
        <f t="shared" si="43"/>
        <v>964945.42956402083</v>
      </c>
      <c r="O99" s="757" t="s">
        <v>1064</v>
      </c>
      <c r="P99" s="229">
        <f t="shared" si="44"/>
        <v>964945.42956402083</v>
      </c>
      <c r="Q99" s="466">
        <f>'Salary Summary 21 for 2022-2024'!Q29</f>
        <v>984065.30283262965</v>
      </c>
      <c r="R99" s="466"/>
      <c r="S99" s="66">
        <f>'Salary Summary 21 for 2022-2024'!U29</f>
        <v>1015441.03245471</v>
      </c>
      <c r="T99" s="66">
        <f t="shared" si="59"/>
        <v>1015441.03245471</v>
      </c>
      <c r="U99" s="205">
        <f t="shared" si="45"/>
        <v>1999506.3352873395</v>
      </c>
      <c r="V99" s="205">
        <f t="shared" si="35"/>
        <v>2964451.7648513606</v>
      </c>
      <c r="W99" s="227">
        <f>E99+G99+K99</f>
        <v>2619423.3772230782</v>
      </c>
      <c r="X99" s="205"/>
      <c r="Y99" s="467" t="s">
        <v>1064</v>
      </c>
      <c r="Z99" s="231">
        <v>1999506.3352873395</v>
      </c>
      <c r="AA99" s="205">
        <v>2653767.218750177</v>
      </c>
    </row>
    <row r="100" spans="1:27" s="722" customFormat="1">
      <c r="A100" s="217">
        <f t="shared" si="55"/>
        <v>650</v>
      </c>
      <c r="B100" s="722" t="s">
        <v>1065</v>
      </c>
      <c r="C100" s="723">
        <f>SUM(C85:C99)</f>
        <v>3299583.5318821394</v>
      </c>
      <c r="D100" s="723">
        <f t="shared" ref="D100:F100" si="61">SUM(D85:D99)</f>
        <v>3485048.2863339679</v>
      </c>
      <c r="E100" s="723">
        <f t="shared" si="61"/>
        <v>1011696</v>
      </c>
      <c r="F100" s="723">
        <f t="shared" si="61"/>
        <v>1227949.8679014121</v>
      </c>
      <c r="G100" s="723">
        <f>SUM(G85:G99)</f>
        <v>1221699.8679014121</v>
      </c>
      <c r="H100" s="755"/>
      <c r="I100" s="723">
        <f t="shared" ref="I100:N100" si="62">SUM(I85:I99)</f>
        <v>22000</v>
      </c>
      <c r="J100" s="723">
        <f t="shared" si="62"/>
        <v>1258593.5093216659</v>
      </c>
      <c r="K100" s="723">
        <f t="shared" si="62"/>
        <v>1280593.5093216659</v>
      </c>
      <c r="L100" s="724">
        <f t="shared" si="62"/>
        <v>22000</v>
      </c>
      <c r="M100" s="724">
        <f t="shared" si="62"/>
        <v>1339051.4295640208</v>
      </c>
      <c r="N100" s="724">
        <f t="shared" si="62"/>
        <v>1361051.4295640208</v>
      </c>
      <c r="O100" s="725"/>
      <c r="P100" s="724">
        <f t="shared" si="44"/>
        <v>1361051.4295640208</v>
      </c>
      <c r="Q100" s="513">
        <f>SUM(Q85:Q99)</f>
        <v>1328545.3028326295</v>
      </c>
      <c r="R100" s="513">
        <f t="shared" ref="R100:V100" si="63">SUM(R85:R99)</f>
        <v>155000</v>
      </c>
      <c r="S100" s="513">
        <f t="shared" si="63"/>
        <v>1359921.03245471</v>
      </c>
      <c r="T100" s="513">
        <f t="shared" si="63"/>
        <v>1514921.03245471</v>
      </c>
      <c r="U100" s="513">
        <f t="shared" si="45"/>
        <v>2843466.3352873395</v>
      </c>
      <c r="V100" s="513">
        <f t="shared" si="63"/>
        <v>4204517.7648513606</v>
      </c>
      <c r="W100" s="723">
        <f>E100+G100+K100</f>
        <v>3513989.3772230777</v>
      </c>
      <c r="X100" s="765"/>
      <c r="Y100" s="766"/>
      <c r="Z100" s="727">
        <v>2768466.3352873395</v>
      </c>
      <c r="AA100" s="765">
        <v>3697600.4187501771</v>
      </c>
    </row>
    <row r="101" spans="1:27">
      <c r="A101" s="201">
        <f t="shared" si="55"/>
        <v>651</v>
      </c>
      <c r="G101" s="202"/>
      <c r="H101" s="203"/>
      <c r="L101" s="464"/>
      <c r="M101" s="464"/>
      <c r="N101" s="464"/>
      <c r="O101" s="717"/>
      <c r="P101" s="464">
        <f t="shared" si="44"/>
        <v>0</v>
      </c>
      <c r="Q101" s="466"/>
      <c r="R101" s="466"/>
      <c r="S101" s="466"/>
      <c r="T101" s="466"/>
      <c r="U101" s="466">
        <f t="shared" si="45"/>
        <v>0</v>
      </c>
      <c r="V101" s="466">
        <f t="shared" si="35"/>
        <v>0</v>
      </c>
      <c r="X101" s="466"/>
      <c r="Y101" s="467"/>
      <c r="AA101" s="466"/>
    </row>
    <row r="102" spans="1:27" ht="40.5" customHeight="1">
      <c r="A102" s="201">
        <f t="shared" si="55"/>
        <v>652</v>
      </c>
      <c r="B102" s="461" t="s">
        <v>1066</v>
      </c>
      <c r="E102" s="227"/>
      <c r="F102" s="202"/>
      <c r="G102" s="202"/>
      <c r="H102" s="203"/>
      <c r="I102" s="202"/>
      <c r="J102" s="202"/>
      <c r="K102" s="202"/>
      <c r="L102" s="204"/>
      <c r="M102" s="204"/>
      <c r="N102" s="204"/>
      <c r="O102" s="717" t="s">
        <v>1067</v>
      </c>
      <c r="P102" s="204">
        <f t="shared" si="44"/>
        <v>0</v>
      </c>
      <c r="Q102" s="466"/>
      <c r="R102" s="466"/>
      <c r="S102" s="466"/>
      <c r="T102" s="466"/>
      <c r="U102" s="466">
        <f t="shared" si="45"/>
        <v>0</v>
      </c>
      <c r="V102" s="466">
        <f t="shared" si="35"/>
        <v>0</v>
      </c>
      <c r="W102" s="202"/>
      <c r="X102" s="466"/>
      <c r="Y102" s="467" t="s">
        <v>1067</v>
      </c>
      <c r="Z102" s="208"/>
      <c r="AA102" s="466"/>
    </row>
    <row r="103" spans="1:27">
      <c r="A103" s="201">
        <f t="shared" si="55"/>
        <v>653</v>
      </c>
      <c r="B103" s="461" t="s">
        <v>1068</v>
      </c>
      <c r="C103" s="89">
        <v>5502984.5499999998</v>
      </c>
      <c r="D103" s="89">
        <v>0</v>
      </c>
      <c r="E103" s="227"/>
      <c r="F103" s="202"/>
      <c r="G103" s="202"/>
      <c r="H103" s="203"/>
      <c r="I103" s="202"/>
      <c r="J103" s="202"/>
      <c r="K103" s="202"/>
      <c r="L103" s="204"/>
      <c r="M103" s="204"/>
      <c r="N103" s="204"/>
      <c r="O103" s="717"/>
      <c r="P103" s="204">
        <f t="shared" si="44"/>
        <v>0</v>
      </c>
      <c r="Q103" s="466"/>
      <c r="R103" s="466"/>
      <c r="S103" s="66"/>
      <c r="T103" s="66"/>
      <c r="U103" s="466">
        <f t="shared" si="45"/>
        <v>0</v>
      </c>
      <c r="V103" s="466">
        <f t="shared" si="35"/>
        <v>0</v>
      </c>
      <c r="W103" s="202"/>
      <c r="X103" s="466"/>
      <c r="Y103" s="467"/>
      <c r="Z103" s="208"/>
      <c r="AA103" s="466"/>
    </row>
    <row r="104" spans="1:27">
      <c r="A104" s="201">
        <f t="shared" si="55"/>
        <v>654</v>
      </c>
      <c r="B104" s="446" t="s">
        <v>1069</v>
      </c>
      <c r="D104" s="89">
        <v>648000</v>
      </c>
      <c r="E104" s="227"/>
      <c r="F104" s="202">
        <v>218000</v>
      </c>
      <c r="G104" s="202">
        <v>218000</v>
      </c>
      <c r="H104" s="203"/>
      <c r="I104" s="202"/>
      <c r="J104" s="202">
        <v>218000</v>
      </c>
      <c r="K104" s="202">
        <f>J104</f>
        <v>218000</v>
      </c>
      <c r="L104" s="204"/>
      <c r="M104" s="204">
        <f>222360+154000</f>
        <v>376360</v>
      </c>
      <c r="N104" s="204">
        <f t="shared" si="43"/>
        <v>376360</v>
      </c>
      <c r="O104" s="717"/>
      <c r="P104" s="204">
        <f t="shared" si="44"/>
        <v>376360</v>
      </c>
      <c r="Q104" s="719">
        <f>222360+159000</f>
        <v>381360</v>
      </c>
      <c r="R104" s="466"/>
      <c r="S104" s="140">
        <f>222360+163300</f>
        <v>385660</v>
      </c>
      <c r="T104" s="66">
        <f t="shared" ref="T104:T128" si="64">R104+S104</f>
        <v>385660</v>
      </c>
      <c r="U104" s="205">
        <f t="shared" si="45"/>
        <v>767020</v>
      </c>
      <c r="V104" s="205">
        <f t="shared" si="35"/>
        <v>1143380</v>
      </c>
      <c r="W104" s="202"/>
      <c r="X104" s="205"/>
      <c r="Y104" s="767" t="s">
        <v>1070</v>
      </c>
      <c r="Z104" s="208">
        <v>767020</v>
      </c>
      <c r="AA104" s="205">
        <v>648000</v>
      </c>
    </row>
    <row r="105" spans="1:27" ht="47.25">
      <c r="A105" s="201">
        <f t="shared" si="55"/>
        <v>655</v>
      </c>
      <c r="B105" s="446" t="s">
        <v>1071</v>
      </c>
      <c r="D105" s="89">
        <v>831000</v>
      </c>
      <c r="E105" s="227"/>
      <c r="F105" s="202">
        <v>292000</v>
      </c>
      <c r="G105" s="202">
        <v>292000</v>
      </c>
      <c r="H105" s="203"/>
      <c r="I105" s="202"/>
      <c r="J105" s="202">
        <v>392600</v>
      </c>
      <c r="K105" s="202">
        <f t="shared" ref="K105:K128" si="65">J105</f>
        <v>392600</v>
      </c>
      <c r="L105" s="204"/>
      <c r="M105" s="204">
        <v>392600</v>
      </c>
      <c r="N105" s="204">
        <f t="shared" si="43"/>
        <v>392600</v>
      </c>
      <c r="O105" s="717" t="s">
        <v>1072</v>
      </c>
      <c r="P105" s="204">
        <f t="shared" si="44"/>
        <v>392600</v>
      </c>
      <c r="Q105" s="719">
        <v>304000</v>
      </c>
      <c r="R105" s="466"/>
      <c r="S105" s="140">
        <v>310000</v>
      </c>
      <c r="T105" s="66">
        <f t="shared" si="64"/>
        <v>310000</v>
      </c>
      <c r="U105" s="205">
        <f t="shared" si="45"/>
        <v>614000</v>
      </c>
      <c r="V105" s="205">
        <f t="shared" si="35"/>
        <v>1006600</v>
      </c>
      <c r="W105" s="202"/>
      <c r="X105" s="205"/>
      <c r="Y105" s="767" t="s">
        <v>1073</v>
      </c>
      <c r="Z105" s="208">
        <v>614000</v>
      </c>
      <c r="AA105" s="205">
        <v>831000</v>
      </c>
    </row>
    <row r="106" spans="1:27">
      <c r="A106" s="201">
        <f t="shared" si="55"/>
        <v>656</v>
      </c>
      <c r="B106" s="446" t="s">
        <v>1074</v>
      </c>
      <c r="D106" s="89">
        <v>1020000</v>
      </c>
      <c r="E106" s="227"/>
      <c r="F106" s="202">
        <v>389000</v>
      </c>
      <c r="G106" s="202">
        <v>389000</v>
      </c>
      <c r="H106" s="203"/>
      <c r="I106" s="202"/>
      <c r="J106" s="202">
        <v>389000</v>
      </c>
      <c r="K106" s="202">
        <f t="shared" si="65"/>
        <v>389000</v>
      </c>
      <c r="L106" s="204"/>
      <c r="M106" s="204">
        <v>404000</v>
      </c>
      <c r="N106" s="204">
        <f t="shared" si="43"/>
        <v>404000</v>
      </c>
      <c r="O106" s="717"/>
      <c r="P106" s="204">
        <f t="shared" si="44"/>
        <v>404000</v>
      </c>
      <c r="Q106" s="466">
        <v>416120</v>
      </c>
      <c r="R106" s="466"/>
      <c r="S106" s="66">
        <v>428603.60000000003</v>
      </c>
      <c r="T106" s="66">
        <f t="shared" si="64"/>
        <v>428603.60000000003</v>
      </c>
      <c r="U106" s="205">
        <f t="shared" si="45"/>
        <v>844723.60000000009</v>
      </c>
      <c r="V106" s="205">
        <f t="shared" si="35"/>
        <v>1248723.6000000001</v>
      </c>
      <c r="W106" s="202"/>
      <c r="X106" s="205"/>
      <c r="Y106" s="467"/>
      <c r="Z106" s="208">
        <v>844723.60000000009</v>
      </c>
      <c r="AA106" s="205">
        <v>1020000</v>
      </c>
    </row>
    <row r="107" spans="1:27">
      <c r="A107" s="201">
        <f t="shared" si="55"/>
        <v>657</v>
      </c>
      <c r="B107" s="446" t="s">
        <v>1075</v>
      </c>
      <c r="D107" s="89">
        <v>743000</v>
      </c>
      <c r="E107" s="227"/>
      <c r="F107" s="202">
        <v>272000</v>
      </c>
      <c r="G107" s="202">
        <v>272000</v>
      </c>
      <c r="H107" s="203"/>
      <c r="I107" s="202"/>
      <c r="J107" s="202">
        <v>272000</v>
      </c>
      <c r="K107" s="202">
        <f t="shared" si="65"/>
        <v>272000</v>
      </c>
      <c r="L107" s="204"/>
      <c r="M107" s="204">
        <v>281000</v>
      </c>
      <c r="N107" s="204">
        <f t="shared" si="43"/>
        <v>281000</v>
      </c>
      <c r="O107" s="717"/>
      <c r="P107" s="204">
        <f t="shared" si="44"/>
        <v>281000</v>
      </c>
      <c r="Q107" s="466">
        <v>289430</v>
      </c>
      <c r="R107" s="466"/>
      <c r="S107" s="66">
        <v>298112.90000000002</v>
      </c>
      <c r="T107" s="66">
        <f t="shared" si="64"/>
        <v>298112.90000000002</v>
      </c>
      <c r="U107" s="205">
        <f t="shared" si="45"/>
        <v>587542.9</v>
      </c>
      <c r="V107" s="205">
        <f t="shared" si="35"/>
        <v>868542.9</v>
      </c>
      <c r="W107" s="202"/>
      <c r="X107" s="205"/>
      <c r="Y107" s="467"/>
      <c r="Z107" s="208">
        <v>587542.9</v>
      </c>
      <c r="AA107" s="205">
        <v>743000</v>
      </c>
    </row>
    <row r="108" spans="1:27" ht="28.05" customHeight="1">
      <c r="A108" s="201">
        <f t="shared" si="55"/>
        <v>658</v>
      </c>
      <c r="B108" s="446" t="s">
        <v>1076</v>
      </c>
      <c r="D108" s="89">
        <v>164000</v>
      </c>
      <c r="E108" s="227"/>
      <c r="F108" s="202">
        <v>59000</v>
      </c>
      <c r="G108" s="202">
        <v>44000</v>
      </c>
      <c r="H108" s="203" t="s">
        <v>1077</v>
      </c>
      <c r="I108" s="202"/>
      <c r="J108" s="202">
        <v>59000</v>
      </c>
      <c r="K108" s="202">
        <f t="shared" si="65"/>
        <v>59000</v>
      </c>
      <c r="L108" s="204"/>
      <c r="M108" s="204">
        <v>59000</v>
      </c>
      <c r="N108" s="204">
        <f t="shared" si="43"/>
        <v>59000</v>
      </c>
      <c r="O108" s="717" t="s">
        <v>1078</v>
      </c>
      <c r="P108" s="204">
        <f t="shared" si="44"/>
        <v>59000</v>
      </c>
      <c r="Q108" s="466">
        <v>0</v>
      </c>
      <c r="R108" s="466"/>
      <c r="S108" s="66">
        <v>0</v>
      </c>
      <c r="T108" s="66">
        <f t="shared" si="64"/>
        <v>0</v>
      </c>
      <c r="U108" s="205">
        <f t="shared" si="45"/>
        <v>0</v>
      </c>
      <c r="V108" s="205">
        <f t="shared" si="35"/>
        <v>59000</v>
      </c>
      <c r="W108" s="202"/>
      <c r="X108" s="205"/>
      <c r="Y108" s="467" t="s">
        <v>1078</v>
      </c>
      <c r="Z108" s="208">
        <v>0</v>
      </c>
      <c r="AA108" s="205">
        <v>164000</v>
      </c>
    </row>
    <row r="109" spans="1:27">
      <c r="A109" s="201">
        <f t="shared" si="55"/>
        <v>659</v>
      </c>
      <c r="B109" s="446" t="s">
        <v>1079</v>
      </c>
      <c r="D109" s="89">
        <v>1467000</v>
      </c>
      <c r="E109" s="227"/>
      <c r="F109" s="202">
        <v>460000</v>
      </c>
      <c r="G109" s="202">
        <v>460000</v>
      </c>
      <c r="H109" s="203"/>
      <c r="I109" s="202"/>
      <c r="J109" s="202">
        <v>460000</v>
      </c>
      <c r="K109" s="202">
        <f t="shared" si="65"/>
        <v>460000</v>
      </c>
      <c r="L109" s="204"/>
      <c r="M109" s="204">
        <v>470000</v>
      </c>
      <c r="N109" s="204">
        <f t="shared" si="43"/>
        <v>470000</v>
      </c>
      <c r="O109" s="717"/>
      <c r="P109" s="204">
        <f t="shared" si="44"/>
        <v>470000</v>
      </c>
      <c r="Q109" s="466">
        <v>470000</v>
      </c>
      <c r="R109" s="466"/>
      <c r="S109" s="66">
        <v>470000</v>
      </c>
      <c r="T109" s="66">
        <f t="shared" si="64"/>
        <v>470000</v>
      </c>
      <c r="U109" s="205">
        <f t="shared" si="45"/>
        <v>940000</v>
      </c>
      <c r="V109" s="205">
        <f t="shared" si="35"/>
        <v>1410000</v>
      </c>
      <c r="W109" s="202"/>
      <c r="X109" s="205"/>
      <c r="Y109" s="467"/>
      <c r="Z109" s="208">
        <v>940000</v>
      </c>
      <c r="AA109" s="205">
        <v>1467000</v>
      </c>
    </row>
    <row r="110" spans="1:27">
      <c r="A110" s="201">
        <f t="shared" si="55"/>
        <v>660</v>
      </c>
      <c r="B110" s="446" t="s">
        <v>1015</v>
      </c>
      <c r="D110" s="89">
        <v>6000</v>
      </c>
      <c r="E110" s="227"/>
      <c r="F110" s="202">
        <v>2000</v>
      </c>
      <c r="G110" s="202">
        <v>2000</v>
      </c>
      <c r="H110" s="203"/>
      <c r="I110" s="202"/>
      <c r="J110" s="202">
        <v>2000</v>
      </c>
      <c r="K110" s="202">
        <f t="shared" si="65"/>
        <v>2000</v>
      </c>
      <c r="L110" s="204"/>
      <c r="M110" s="204">
        <v>2000</v>
      </c>
      <c r="N110" s="204">
        <f t="shared" si="43"/>
        <v>2000</v>
      </c>
      <c r="O110" s="717"/>
      <c r="P110" s="204">
        <f t="shared" si="44"/>
        <v>2000</v>
      </c>
      <c r="Q110" s="466">
        <v>2000</v>
      </c>
      <c r="R110" s="466"/>
      <c r="S110" s="66">
        <v>2000</v>
      </c>
      <c r="T110" s="66">
        <f t="shared" si="64"/>
        <v>2000</v>
      </c>
      <c r="U110" s="205">
        <f t="shared" si="45"/>
        <v>4000</v>
      </c>
      <c r="V110" s="205">
        <f t="shared" si="35"/>
        <v>6000</v>
      </c>
      <c r="W110" s="202"/>
      <c r="X110" s="205"/>
      <c r="Y110" s="467"/>
      <c r="Z110" s="208">
        <v>4000</v>
      </c>
      <c r="AA110" s="205">
        <v>6000</v>
      </c>
    </row>
    <row r="111" spans="1:27" ht="22.9" customHeight="1">
      <c r="A111" s="201">
        <f t="shared" si="55"/>
        <v>661</v>
      </c>
      <c r="B111" s="446" t="s">
        <v>1080</v>
      </c>
      <c r="D111" s="89">
        <v>6000</v>
      </c>
      <c r="E111" s="227"/>
      <c r="F111" s="202">
        <v>750000</v>
      </c>
      <c r="G111" s="202">
        <v>750000</v>
      </c>
      <c r="H111" s="203" t="s">
        <v>1081</v>
      </c>
      <c r="I111" s="202"/>
      <c r="J111" s="202">
        <v>0</v>
      </c>
      <c r="K111" s="202">
        <f t="shared" si="65"/>
        <v>0</v>
      </c>
      <c r="L111" s="204"/>
      <c r="M111" s="204">
        <v>0</v>
      </c>
      <c r="N111" s="204">
        <f t="shared" si="43"/>
        <v>0</v>
      </c>
      <c r="O111" s="717" t="s">
        <v>1082</v>
      </c>
      <c r="P111" s="204">
        <f t="shared" si="44"/>
        <v>0</v>
      </c>
      <c r="Q111" s="466">
        <v>0</v>
      </c>
      <c r="R111" s="466"/>
      <c r="S111" s="66">
        <v>0</v>
      </c>
      <c r="T111" s="66">
        <f t="shared" si="64"/>
        <v>0</v>
      </c>
      <c r="U111" s="205">
        <f t="shared" si="45"/>
        <v>0</v>
      </c>
      <c r="V111" s="205">
        <f t="shared" si="35"/>
        <v>0</v>
      </c>
      <c r="W111" s="202"/>
      <c r="X111" s="205"/>
      <c r="Y111" s="467" t="s">
        <v>1082</v>
      </c>
      <c r="Z111" s="208">
        <v>0</v>
      </c>
      <c r="AA111" s="205">
        <v>6000</v>
      </c>
    </row>
    <row r="112" spans="1:27">
      <c r="A112" s="201">
        <f t="shared" si="55"/>
        <v>662</v>
      </c>
      <c r="B112" s="446" t="s">
        <v>1083</v>
      </c>
      <c r="D112" s="89">
        <v>12000</v>
      </c>
      <c r="E112" s="227"/>
      <c r="F112" s="202">
        <v>5000</v>
      </c>
      <c r="G112" s="202">
        <v>5000</v>
      </c>
      <c r="H112" s="203"/>
      <c r="I112" s="202"/>
      <c r="J112" s="202">
        <v>5000</v>
      </c>
      <c r="K112" s="202">
        <f t="shared" si="65"/>
        <v>5000</v>
      </c>
      <c r="L112" s="204"/>
      <c r="M112" s="204">
        <v>5000</v>
      </c>
      <c r="N112" s="204">
        <f t="shared" si="43"/>
        <v>5000</v>
      </c>
      <c r="O112" s="717"/>
      <c r="P112" s="204">
        <f t="shared" si="44"/>
        <v>5000</v>
      </c>
      <c r="Q112" s="466">
        <v>5000</v>
      </c>
      <c r="R112" s="466"/>
      <c r="S112" s="66">
        <v>5000</v>
      </c>
      <c r="T112" s="66">
        <f t="shared" si="64"/>
        <v>5000</v>
      </c>
      <c r="U112" s="205">
        <f t="shared" si="45"/>
        <v>10000</v>
      </c>
      <c r="V112" s="205">
        <f t="shared" si="35"/>
        <v>15000</v>
      </c>
      <c r="W112" s="202"/>
      <c r="X112" s="205"/>
      <c r="Y112" s="467"/>
      <c r="Z112" s="208">
        <v>10000</v>
      </c>
      <c r="AA112" s="205">
        <v>12000</v>
      </c>
    </row>
    <row r="113" spans="1:27" ht="58.9" customHeight="1">
      <c r="A113" s="201">
        <f t="shared" si="55"/>
        <v>663</v>
      </c>
      <c r="B113" s="446" t="s">
        <v>1084</v>
      </c>
      <c r="D113" s="89">
        <v>68500</v>
      </c>
      <c r="E113" s="227"/>
      <c r="F113" s="202">
        <v>120000</v>
      </c>
      <c r="G113" s="202">
        <v>139000</v>
      </c>
      <c r="H113" s="203" t="s">
        <v>1085</v>
      </c>
      <c r="I113" s="202"/>
      <c r="J113" s="202">
        <v>120000</v>
      </c>
      <c r="K113" s="202">
        <f t="shared" si="65"/>
        <v>120000</v>
      </c>
      <c r="L113" s="204"/>
      <c r="M113" s="204">
        <v>125000</v>
      </c>
      <c r="N113" s="204">
        <f t="shared" si="43"/>
        <v>125000</v>
      </c>
      <c r="O113" s="717" t="s">
        <v>1086</v>
      </c>
      <c r="P113" s="204">
        <f t="shared" si="44"/>
        <v>125000</v>
      </c>
      <c r="Q113" s="466">
        <v>125000</v>
      </c>
      <c r="R113" s="466"/>
      <c r="S113" s="66">
        <v>125000</v>
      </c>
      <c r="T113" s="66">
        <f t="shared" si="64"/>
        <v>125000</v>
      </c>
      <c r="U113" s="205">
        <f t="shared" si="45"/>
        <v>250000</v>
      </c>
      <c r="V113" s="205">
        <f t="shared" si="35"/>
        <v>375000</v>
      </c>
      <c r="W113" s="202"/>
      <c r="X113" s="205"/>
      <c r="Y113" s="467" t="s">
        <v>1086</v>
      </c>
      <c r="Z113" s="208">
        <v>250000</v>
      </c>
      <c r="AA113" s="205">
        <v>68500</v>
      </c>
    </row>
    <row r="114" spans="1:27">
      <c r="A114" s="201">
        <f t="shared" si="55"/>
        <v>664</v>
      </c>
      <c r="B114" s="446" t="s">
        <v>1087</v>
      </c>
      <c r="D114" s="89">
        <v>15000</v>
      </c>
      <c r="E114" s="227"/>
      <c r="F114" s="202">
        <v>5000</v>
      </c>
      <c r="G114" s="202">
        <v>5000</v>
      </c>
      <c r="H114" s="203"/>
      <c r="I114" s="202"/>
      <c r="J114" s="202">
        <v>5000</v>
      </c>
      <c r="K114" s="202">
        <f t="shared" si="65"/>
        <v>5000</v>
      </c>
      <c r="L114" s="204"/>
      <c r="M114" s="204">
        <v>5000</v>
      </c>
      <c r="N114" s="204">
        <f t="shared" si="43"/>
        <v>5000</v>
      </c>
      <c r="O114" s="717"/>
      <c r="P114" s="204">
        <f t="shared" si="44"/>
        <v>5000</v>
      </c>
      <c r="Q114" s="466">
        <v>5000</v>
      </c>
      <c r="R114" s="466"/>
      <c r="S114" s="66">
        <v>5000</v>
      </c>
      <c r="T114" s="66">
        <f t="shared" si="64"/>
        <v>5000</v>
      </c>
      <c r="U114" s="205">
        <f t="shared" si="45"/>
        <v>10000</v>
      </c>
      <c r="V114" s="205">
        <f t="shared" si="35"/>
        <v>15000</v>
      </c>
      <c r="W114" s="202"/>
      <c r="X114" s="205"/>
      <c r="Y114" s="467"/>
      <c r="Z114" s="208">
        <v>10000</v>
      </c>
      <c r="AA114" s="205">
        <v>15000</v>
      </c>
    </row>
    <row r="115" spans="1:27" ht="31.5">
      <c r="A115" s="201">
        <f t="shared" si="55"/>
        <v>665</v>
      </c>
      <c r="B115" s="446" t="s">
        <v>1088</v>
      </c>
      <c r="D115" s="89">
        <v>45000</v>
      </c>
      <c r="E115" s="227"/>
      <c r="F115" s="202">
        <v>15000</v>
      </c>
      <c r="G115" s="202">
        <v>15000</v>
      </c>
      <c r="H115" s="203"/>
      <c r="I115" s="202"/>
      <c r="J115" s="202">
        <v>59000</v>
      </c>
      <c r="K115" s="202">
        <f t="shared" si="65"/>
        <v>59000</v>
      </c>
      <c r="L115" s="204"/>
      <c r="M115" s="204">
        <v>59000</v>
      </c>
      <c r="N115" s="204">
        <f t="shared" si="43"/>
        <v>59000</v>
      </c>
      <c r="O115" s="717" t="s">
        <v>1089</v>
      </c>
      <c r="P115" s="204">
        <f t="shared" si="44"/>
        <v>59000</v>
      </c>
      <c r="Q115" s="466">
        <v>59000</v>
      </c>
      <c r="R115" s="466"/>
      <c r="S115" s="66">
        <v>59000</v>
      </c>
      <c r="T115" s="66">
        <f t="shared" si="64"/>
        <v>59000</v>
      </c>
      <c r="U115" s="205">
        <f t="shared" si="45"/>
        <v>118000</v>
      </c>
      <c r="V115" s="205">
        <f t="shared" si="35"/>
        <v>177000</v>
      </c>
      <c r="W115" s="202"/>
      <c r="X115" s="205"/>
      <c r="Y115" s="467" t="s">
        <v>1089</v>
      </c>
      <c r="Z115" s="208">
        <v>118000</v>
      </c>
      <c r="AA115" s="205">
        <v>45000</v>
      </c>
    </row>
    <row r="116" spans="1:27">
      <c r="A116" s="201">
        <f t="shared" si="55"/>
        <v>666</v>
      </c>
      <c r="B116" s="446" t="s">
        <v>1090</v>
      </c>
      <c r="D116" s="89">
        <v>4500</v>
      </c>
      <c r="E116" s="227"/>
      <c r="F116" s="202">
        <v>3500</v>
      </c>
      <c r="G116" s="202">
        <v>3500</v>
      </c>
      <c r="H116" s="203"/>
      <c r="I116" s="202"/>
      <c r="J116" s="202">
        <v>3500</v>
      </c>
      <c r="K116" s="202">
        <f t="shared" si="65"/>
        <v>3500</v>
      </c>
      <c r="L116" s="204"/>
      <c r="M116" s="204">
        <v>3500</v>
      </c>
      <c r="N116" s="204">
        <f t="shared" si="43"/>
        <v>3500</v>
      </c>
      <c r="O116" s="717"/>
      <c r="P116" s="204">
        <f t="shared" si="44"/>
        <v>3500</v>
      </c>
      <c r="Q116" s="466">
        <v>3500</v>
      </c>
      <c r="R116" s="466"/>
      <c r="S116" s="66">
        <v>3500</v>
      </c>
      <c r="T116" s="66">
        <f t="shared" si="64"/>
        <v>3500</v>
      </c>
      <c r="U116" s="205">
        <f t="shared" si="45"/>
        <v>7000</v>
      </c>
      <c r="V116" s="205">
        <f t="shared" si="35"/>
        <v>10500</v>
      </c>
      <c r="W116" s="202"/>
      <c r="X116" s="205"/>
      <c r="Y116" s="467"/>
      <c r="Z116" s="208">
        <v>7000</v>
      </c>
      <c r="AA116" s="205">
        <v>4500</v>
      </c>
    </row>
    <row r="117" spans="1:27">
      <c r="A117" s="201">
        <f t="shared" si="55"/>
        <v>667</v>
      </c>
      <c r="B117" s="446" t="s">
        <v>1091</v>
      </c>
      <c r="D117" s="89">
        <v>19500</v>
      </c>
      <c r="E117" s="227"/>
      <c r="F117" s="202">
        <v>6500</v>
      </c>
      <c r="G117" s="202">
        <v>6500</v>
      </c>
      <c r="H117" s="203"/>
      <c r="I117" s="202"/>
      <c r="J117" s="202">
        <v>6500</v>
      </c>
      <c r="K117" s="202">
        <f t="shared" si="65"/>
        <v>6500</v>
      </c>
      <c r="L117" s="204"/>
      <c r="M117" s="204">
        <v>6500</v>
      </c>
      <c r="N117" s="204">
        <f t="shared" si="43"/>
        <v>6500</v>
      </c>
      <c r="O117" s="717"/>
      <c r="P117" s="204">
        <f t="shared" si="44"/>
        <v>6500</v>
      </c>
      <c r="Q117" s="466">
        <v>6500</v>
      </c>
      <c r="R117" s="466"/>
      <c r="S117" s="66">
        <v>6500</v>
      </c>
      <c r="T117" s="66">
        <f t="shared" si="64"/>
        <v>6500</v>
      </c>
      <c r="U117" s="205">
        <f t="shared" si="45"/>
        <v>13000</v>
      </c>
      <c r="V117" s="205">
        <f t="shared" si="35"/>
        <v>19500</v>
      </c>
      <c r="W117" s="202"/>
      <c r="X117" s="205"/>
      <c r="Y117" s="467"/>
      <c r="Z117" s="208">
        <v>13000</v>
      </c>
      <c r="AA117" s="205">
        <v>19500</v>
      </c>
    </row>
    <row r="118" spans="1:27">
      <c r="A118" s="201">
        <f t="shared" si="55"/>
        <v>668</v>
      </c>
      <c r="B118" s="446" t="s">
        <v>1092</v>
      </c>
      <c r="D118" s="89">
        <v>12960</v>
      </c>
      <c r="E118" s="227"/>
      <c r="F118" s="202">
        <v>4320</v>
      </c>
      <c r="G118" s="202">
        <v>4320</v>
      </c>
      <c r="H118" s="203"/>
      <c r="I118" s="202"/>
      <c r="J118" s="202">
        <v>4320</v>
      </c>
      <c r="K118" s="202">
        <f t="shared" si="65"/>
        <v>4320</v>
      </c>
      <c r="L118" s="204"/>
      <c r="M118" s="204">
        <v>4320</v>
      </c>
      <c r="N118" s="204">
        <f t="shared" si="43"/>
        <v>4320</v>
      </c>
      <c r="O118" s="717"/>
      <c r="P118" s="204">
        <f t="shared" si="44"/>
        <v>4320</v>
      </c>
      <c r="Q118" s="466">
        <v>4320</v>
      </c>
      <c r="R118" s="466"/>
      <c r="S118" s="66">
        <v>4320</v>
      </c>
      <c r="T118" s="66">
        <f t="shared" si="64"/>
        <v>4320</v>
      </c>
      <c r="U118" s="205">
        <f t="shared" si="45"/>
        <v>8640</v>
      </c>
      <c r="V118" s="205">
        <f t="shared" si="35"/>
        <v>12960</v>
      </c>
      <c r="W118" s="202"/>
      <c r="X118" s="205"/>
      <c r="Y118" s="467"/>
      <c r="Z118" s="208">
        <v>8640</v>
      </c>
      <c r="AA118" s="205">
        <v>12960</v>
      </c>
    </row>
    <row r="119" spans="1:27" ht="38.65" customHeight="1">
      <c r="A119" s="201">
        <f t="shared" si="55"/>
        <v>669</v>
      </c>
      <c r="B119" s="446" t="s">
        <v>1093</v>
      </c>
      <c r="D119" s="89">
        <v>125650</v>
      </c>
      <c r="E119" s="227"/>
      <c r="F119" s="202">
        <v>30000</v>
      </c>
      <c r="G119" s="202">
        <v>30000</v>
      </c>
      <c r="H119" s="203"/>
      <c r="I119" s="202"/>
      <c r="J119" s="202">
        <v>49900</v>
      </c>
      <c r="K119" s="202">
        <f t="shared" si="65"/>
        <v>49900</v>
      </c>
      <c r="L119" s="204"/>
      <c r="M119" s="204">
        <v>49900</v>
      </c>
      <c r="N119" s="204">
        <f t="shared" si="43"/>
        <v>49900</v>
      </c>
      <c r="O119" s="717" t="s">
        <v>1094</v>
      </c>
      <c r="P119" s="204">
        <f t="shared" si="44"/>
        <v>49900</v>
      </c>
      <c r="Q119" s="466">
        <v>49900</v>
      </c>
      <c r="R119" s="466"/>
      <c r="S119" s="66">
        <v>49900</v>
      </c>
      <c r="T119" s="66">
        <f t="shared" si="64"/>
        <v>49900</v>
      </c>
      <c r="U119" s="205">
        <f t="shared" si="45"/>
        <v>99800</v>
      </c>
      <c r="V119" s="205">
        <f t="shared" si="35"/>
        <v>149700</v>
      </c>
      <c r="W119" s="202"/>
      <c r="X119" s="205"/>
      <c r="Y119" s="467" t="s">
        <v>1094</v>
      </c>
      <c r="Z119" s="208">
        <v>99800</v>
      </c>
      <c r="AA119" s="205">
        <v>125650</v>
      </c>
    </row>
    <row r="120" spans="1:27">
      <c r="A120" s="201">
        <f t="shared" si="55"/>
        <v>670</v>
      </c>
      <c r="B120" s="446" t="s">
        <v>1095</v>
      </c>
      <c r="D120" s="89">
        <v>118500</v>
      </c>
      <c r="E120" s="227"/>
      <c r="F120" s="202">
        <v>39500</v>
      </c>
      <c r="G120" s="202">
        <v>39500</v>
      </c>
      <c r="H120" s="203"/>
      <c r="I120" s="202"/>
      <c r="J120" s="202">
        <v>39500</v>
      </c>
      <c r="K120" s="202">
        <f t="shared" si="65"/>
        <v>39500</v>
      </c>
      <c r="L120" s="204"/>
      <c r="M120" s="204">
        <v>39500</v>
      </c>
      <c r="N120" s="204">
        <f t="shared" si="43"/>
        <v>39500</v>
      </c>
      <c r="O120" s="717"/>
      <c r="P120" s="204">
        <f t="shared" si="44"/>
        <v>39500</v>
      </c>
      <c r="Q120" s="466">
        <v>39500</v>
      </c>
      <c r="R120" s="466"/>
      <c r="S120" s="66">
        <v>39500</v>
      </c>
      <c r="T120" s="66">
        <f t="shared" si="64"/>
        <v>39500</v>
      </c>
      <c r="U120" s="205">
        <f t="shared" si="45"/>
        <v>79000</v>
      </c>
      <c r="V120" s="205">
        <f t="shared" si="35"/>
        <v>118500</v>
      </c>
      <c r="W120" s="202"/>
      <c r="X120" s="205"/>
      <c r="Y120" s="467"/>
      <c r="Z120" s="208">
        <v>79000</v>
      </c>
      <c r="AA120" s="205">
        <v>118500</v>
      </c>
    </row>
    <row r="121" spans="1:27">
      <c r="A121" s="201">
        <f t="shared" si="55"/>
        <v>671</v>
      </c>
      <c r="B121" s="446" t="s">
        <v>1096</v>
      </c>
      <c r="D121" s="89">
        <v>105000</v>
      </c>
      <c r="E121" s="227"/>
      <c r="F121" s="202">
        <v>35000</v>
      </c>
      <c r="G121" s="202">
        <v>35000</v>
      </c>
      <c r="H121" s="203"/>
      <c r="I121" s="202"/>
      <c r="J121" s="202">
        <v>35000</v>
      </c>
      <c r="K121" s="202">
        <f t="shared" si="65"/>
        <v>35000</v>
      </c>
      <c r="L121" s="204"/>
      <c r="M121" s="204">
        <v>35000</v>
      </c>
      <c r="N121" s="204">
        <f t="shared" si="43"/>
        <v>35000</v>
      </c>
      <c r="O121" s="717"/>
      <c r="P121" s="204">
        <f t="shared" si="44"/>
        <v>35000</v>
      </c>
      <c r="Q121" s="466">
        <v>35000</v>
      </c>
      <c r="R121" s="466"/>
      <c r="S121" s="66">
        <v>35000</v>
      </c>
      <c r="T121" s="66">
        <f t="shared" si="64"/>
        <v>35000</v>
      </c>
      <c r="U121" s="205">
        <f t="shared" si="45"/>
        <v>70000</v>
      </c>
      <c r="V121" s="205">
        <f t="shared" ref="V121:V149" si="66">U121+P121</f>
        <v>105000</v>
      </c>
      <c r="W121" s="202"/>
      <c r="X121" s="205"/>
      <c r="Y121" s="467"/>
      <c r="Z121" s="208">
        <v>70000</v>
      </c>
      <c r="AA121" s="205">
        <v>105000</v>
      </c>
    </row>
    <row r="122" spans="1:27">
      <c r="A122" s="201">
        <f t="shared" si="55"/>
        <v>672</v>
      </c>
      <c r="B122" s="446" t="s">
        <v>1097</v>
      </c>
      <c r="D122" s="89">
        <v>20250</v>
      </c>
      <c r="E122" s="227"/>
      <c r="F122" s="202">
        <v>6750</v>
      </c>
      <c r="G122" s="202">
        <v>6750</v>
      </c>
      <c r="H122" s="203"/>
      <c r="I122" s="202"/>
      <c r="J122" s="202">
        <v>6750</v>
      </c>
      <c r="K122" s="202">
        <f t="shared" si="65"/>
        <v>6750</v>
      </c>
      <c r="L122" s="204"/>
      <c r="M122" s="204">
        <v>6750</v>
      </c>
      <c r="N122" s="204">
        <f t="shared" si="43"/>
        <v>6750</v>
      </c>
      <c r="O122" s="717"/>
      <c r="P122" s="204">
        <f t="shared" si="44"/>
        <v>6750</v>
      </c>
      <c r="Q122" s="466">
        <v>6750</v>
      </c>
      <c r="R122" s="466"/>
      <c r="S122" s="66">
        <v>6750</v>
      </c>
      <c r="T122" s="66">
        <f t="shared" si="64"/>
        <v>6750</v>
      </c>
      <c r="U122" s="205">
        <f t="shared" si="45"/>
        <v>13500</v>
      </c>
      <c r="V122" s="205">
        <f t="shared" si="66"/>
        <v>20250</v>
      </c>
      <c r="W122" s="202"/>
      <c r="X122" s="205"/>
      <c r="Y122" s="467"/>
      <c r="Z122" s="208">
        <v>13500</v>
      </c>
      <c r="AA122" s="205">
        <v>20250</v>
      </c>
    </row>
    <row r="123" spans="1:27">
      <c r="A123" s="201">
        <f t="shared" si="55"/>
        <v>673</v>
      </c>
      <c r="B123" s="446" t="s">
        <v>1098</v>
      </c>
      <c r="D123" s="89">
        <v>60000</v>
      </c>
      <c r="E123" s="227"/>
      <c r="F123" s="202">
        <v>20000</v>
      </c>
      <c r="G123" s="202">
        <v>20000</v>
      </c>
      <c r="H123" s="203"/>
      <c r="I123" s="202"/>
      <c r="J123" s="202">
        <v>20000</v>
      </c>
      <c r="K123" s="202">
        <f t="shared" si="65"/>
        <v>20000</v>
      </c>
      <c r="L123" s="204"/>
      <c r="M123" s="204">
        <v>20000</v>
      </c>
      <c r="N123" s="204">
        <f t="shared" si="43"/>
        <v>20000</v>
      </c>
      <c r="O123" s="717"/>
      <c r="P123" s="204">
        <f t="shared" si="44"/>
        <v>20000</v>
      </c>
      <c r="Q123" s="466">
        <v>20000</v>
      </c>
      <c r="R123" s="466"/>
      <c r="S123" s="66">
        <v>20000</v>
      </c>
      <c r="T123" s="66">
        <f t="shared" si="64"/>
        <v>20000</v>
      </c>
      <c r="U123" s="205">
        <f t="shared" si="45"/>
        <v>40000</v>
      </c>
      <c r="V123" s="205">
        <f t="shared" si="66"/>
        <v>60000</v>
      </c>
      <c r="W123" s="202"/>
      <c r="X123" s="205"/>
      <c r="Y123" s="467"/>
      <c r="Z123" s="208">
        <v>40000</v>
      </c>
      <c r="AA123" s="205">
        <v>60000</v>
      </c>
    </row>
    <row r="124" spans="1:27">
      <c r="A124" s="201">
        <f t="shared" si="55"/>
        <v>674</v>
      </c>
      <c r="B124" s="446" t="s">
        <v>1099</v>
      </c>
      <c r="D124" s="89">
        <v>315000</v>
      </c>
      <c r="E124" s="227"/>
      <c r="F124" s="202">
        <v>115000</v>
      </c>
      <c r="G124" s="202">
        <v>115000</v>
      </c>
      <c r="H124" s="203"/>
      <c r="I124" s="202"/>
      <c r="J124" s="202">
        <v>115000</v>
      </c>
      <c r="K124" s="202">
        <f t="shared" si="65"/>
        <v>115000</v>
      </c>
      <c r="L124" s="204"/>
      <c r="M124" s="204">
        <v>118000</v>
      </c>
      <c r="N124" s="204">
        <f t="shared" si="43"/>
        <v>118000</v>
      </c>
      <c r="O124" s="717"/>
      <c r="P124" s="204">
        <f t="shared" si="44"/>
        <v>118000</v>
      </c>
      <c r="Q124" s="466">
        <v>118000</v>
      </c>
      <c r="R124" s="466"/>
      <c r="S124" s="66">
        <v>118000</v>
      </c>
      <c r="T124" s="66">
        <f t="shared" si="64"/>
        <v>118000</v>
      </c>
      <c r="U124" s="205">
        <f t="shared" si="45"/>
        <v>236000</v>
      </c>
      <c r="V124" s="205">
        <f t="shared" si="66"/>
        <v>354000</v>
      </c>
      <c r="W124" s="202"/>
      <c r="X124" s="205"/>
      <c r="Y124" s="467"/>
      <c r="Z124" s="208">
        <v>236000</v>
      </c>
      <c r="AA124" s="205">
        <v>315000</v>
      </c>
    </row>
    <row r="125" spans="1:27">
      <c r="A125" s="201">
        <f t="shared" si="55"/>
        <v>675</v>
      </c>
      <c r="B125" s="446" t="s">
        <v>520</v>
      </c>
      <c r="D125" s="89">
        <v>18000</v>
      </c>
      <c r="E125" s="227"/>
      <c r="F125" s="202">
        <v>6000</v>
      </c>
      <c r="G125" s="202">
        <v>6000</v>
      </c>
      <c r="H125" s="203"/>
      <c r="I125" s="202"/>
      <c r="J125" s="202">
        <v>6000</v>
      </c>
      <c r="K125" s="202">
        <f t="shared" si="65"/>
        <v>6000</v>
      </c>
      <c r="L125" s="204"/>
      <c r="M125" s="204">
        <v>6000</v>
      </c>
      <c r="N125" s="204">
        <f t="shared" si="43"/>
        <v>6000</v>
      </c>
      <c r="O125" s="717"/>
      <c r="P125" s="204">
        <f t="shared" si="44"/>
        <v>6000</v>
      </c>
      <c r="Q125" s="466">
        <v>6000</v>
      </c>
      <c r="R125" s="466"/>
      <c r="S125" s="66">
        <v>6000</v>
      </c>
      <c r="T125" s="66">
        <f t="shared" si="64"/>
        <v>6000</v>
      </c>
      <c r="U125" s="205">
        <f t="shared" si="45"/>
        <v>12000</v>
      </c>
      <c r="V125" s="205">
        <f t="shared" si="66"/>
        <v>18000</v>
      </c>
      <c r="W125" s="202"/>
      <c r="X125" s="205"/>
      <c r="Y125" s="467"/>
      <c r="Z125" s="208">
        <v>12000</v>
      </c>
      <c r="AA125" s="205">
        <v>18000</v>
      </c>
    </row>
    <row r="126" spans="1:27" ht="57.4" customHeight="1">
      <c r="A126" s="201">
        <f t="shared" si="55"/>
        <v>676</v>
      </c>
      <c r="B126" s="446" t="s">
        <v>1100</v>
      </c>
      <c r="D126" s="89">
        <v>27500</v>
      </c>
      <c r="E126" s="227"/>
      <c r="F126" s="202">
        <v>44000</v>
      </c>
      <c r="G126" s="202">
        <v>44000</v>
      </c>
      <c r="H126" s="203"/>
      <c r="I126" s="202"/>
      <c r="J126" s="202">
        <v>0</v>
      </c>
      <c r="K126" s="202">
        <f t="shared" si="65"/>
        <v>0</v>
      </c>
      <c r="L126" s="204"/>
      <c r="M126" s="204">
        <v>470000</v>
      </c>
      <c r="N126" s="204">
        <f t="shared" si="43"/>
        <v>470000</v>
      </c>
      <c r="O126" s="717" t="s">
        <v>1101</v>
      </c>
      <c r="P126" s="204">
        <f t="shared" si="44"/>
        <v>470000</v>
      </c>
      <c r="Q126" s="466"/>
      <c r="R126" s="466"/>
      <c r="S126" s="66">
        <v>0</v>
      </c>
      <c r="T126" s="66">
        <f t="shared" si="64"/>
        <v>0</v>
      </c>
      <c r="U126" s="205">
        <f t="shared" si="45"/>
        <v>0</v>
      </c>
      <c r="V126" s="205">
        <f t="shared" si="66"/>
        <v>470000</v>
      </c>
      <c r="W126" s="202"/>
      <c r="X126" s="205"/>
      <c r="Y126" s="467" t="s">
        <v>1101</v>
      </c>
      <c r="Z126" s="208">
        <v>0</v>
      </c>
      <c r="AA126" s="205">
        <v>27500</v>
      </c>
    </row>
    <row r="127" spans="1:27" ht="27.95" customHeight="1">
      <c r="A127" s="201">
        <f t="shared" si="55"/>
        <v>677</v>
      </c>
      <c r="B127" s="446" t="s">
        <v>1102</v>
      </c>
      <c r="D127" s="89">
        <v>40000</v>
      </c>
      <c r="E127" s="227"/>
      <c r="F127" s="202"/>
      <c r="G127" s="202"/>
      <c r="H127" s="203"/>
      <c r="I127" s="202"/>
      <c r="J127" s="202">
        <v>0</v>
      </c>
      <c r="K127" s="202">
        <f t="shared" si="65"/>
        <v>0</v>
      </c>
      <c r="L127" s="204"/>
      <c r="M127" s="204">
        <v>32000</v>
      </c>
      <c r="N127" s="204">
        <f t="shared" si="43"/>
        <v>32000</v>
      </c>
      <c r="O127" s="717" t="s">
        <v>1103</v>
      </c>
      <c r="P127" s="204">
        <f t="shared" si="44"/>
        <v>32000</v>
      </c>
      <c r="Q127" s="466"/>
      <c r="R127" s="466"/>
      <c r="S127" s="66">
        <v>0</v>
      </c>
      <c r="T127" s="66">
        <f t="shared" si="64"/>
        <v>0</v>
      </c>
      <c r="U127" s="205">
        <f t="shared" si="45"/>
        <v>0</v>
      </c>
      <c r="V127" s="205">
        <f t="shared" si="66"/>
        <v>32000</v>
      </c>
      <c r="W127" s="202"/>
      <c r="X127" s="205"/>
      <c r="Y127" s="467" t="s">
        <v>1103</v>
      </c>
      <c r="Z127" s="208">
        <v>0</v>
      </c>
      <c r="AA127" s="205">
        <v>40000</v>
      </c>
    </row>
    <row r="128" spans="1:27">
      <c r="A128" s="201">
        <f t="shared" si="55"/>
        <v>678</v>
      </c>
      <c r="B128" s="446" t="s">
        <v>1104</v>
      </c>
      <c r="D128" s="89">
        <v>48000</v>
      </c>
      <c r="E128" s="227"/>
      <c r="F128" s="202">
        <v>24000</v>
      </c>
      <c r="G128" s="202">
        <v>24000</v>
      </c>
      <c r="H128" s="746"/>
      <c r="I128" s="202"/>
      <c r="J128" s="202">
        <v>0</v>
      </c>
      <c r="K128" s="202">
        <f t="shared" si="65"/>
        <v>0</v>
      </c>
      <c r="L128" s="204"/>
      <c r="M128" s="204"/>
      <c r="N128" s="204">
        <f t="shared" si="43"/>
        <v>0</v>
      </c>
      <c r="O128" s="717"/>
      <c r="P128" s="204">
        <f t="shared" si="44"/>
        <v>0</v>
      </c>
      <c r="Q128" s="466"/>
      <c r="R128" s="466"/>
      <c r="S128" s="66">
        <f t="shared" ref="S128" si="67">Q128+R128</f>
        <v>0</v>
      </c>
      <c r="T128" s="66">
        <f t="shared" si="64"/>
        <v>0</v>
      </c>
      <c r="U128" s="205">
        <f t="shared" si="45"/>
        <v>0</v>
      </c>
      <c r="V128" s="205">
        <f t="shared" si="66"/>
        <v>0</v>
      </c>
      <c r="W128" s="202"/>
      <c r="X128" s="205"/>
      <c r="Y128" s="467"/>
      <c r="Z128" s="208">
        <v>0</v>
      </c>
      <c r="AA128" s="205">
        <v>48000</v>
      </c>
    </row>
    <row r="129" spans="1:27" s="731" customFormat="1">
      <c r="A129" s="730">
        <f t="shared" si="55"/>
        <v>679</v>
      </c>
      <c r="B129" s="731" t="s">
        <v>1105</v>
      </c>
      <c r="C129" s="733">
        <f>SUM(C103:C128)</f>
        <v>5502984.5499999998</v>
      </c>
      <c r="D129" s="733">
        <f>SUM(D103:D128)</f>
        <v>5940360</v>
      </c>
      <c r="E129" s="733">
        <v>2196240</v>
      </c>
      <c r="F129" s="733">
        <f t="shared" ref="F129:N129" si="68">SUM(F103:F128)</f>
        <v>2921570</v>
      </c>
      <c r="G129" s="733">
        <f t="shared" si="68"/>
        <v>2925570</v>
      </c>
      <c r="H129" s="228"/>
      <c r="I129" s="733">
        <f t="shared" si="68"/>
        <v>0</v>
      </c>
      <c r="J129" s="733">
        <f t="shared" si="68"/>
        <v>2268070</v>
      </c>
      <c r="K129" s="733">
        <f t="shared" si="68"/>
        <v>2268070</v>
      </c>
      <c r="L129" s="735">
        <f t="shared" si="68"/>
        <v>0</v>
      </c>
      <c r="M129" s="735">
        <f t="shared" si="68"/>
        <v>2970430</v>
      </c>
      <c r="N129" s="735">
        <f t="shared" si="68"/>
        <v>2970430</v>
      </c>
      <c r="O129" s="736"/>
      <c r="P129" s="735">
        <f t="shared" si="44"/>
        <v>2970430</v>
      </c>
      <c r="Q129" s="737">
        <f>SUM(Q103:Q128)</f>
        <v>2346380</v>
      </c>
      <c r="R129" s="737">
        <f t="shared" ref="R129:V129" si="69">SUM(R103:R128)</f>
        <v>0</v>
      </c>
      <c r="S129" s="737">
        <f t="shared" si="69"/>
        <v>2377846.5</v>
      </c>
      <c r="T129" s="737">
        <f t="shared" si="69"/>
        <v>2377846.5</v>
      </c>
      <c r="U129" s="737">
        <f t="shared" si="45"/>
        <v>4724226.5</v>
      </c>
      <c r="V129" s="737">
        <f t="shared" si="69"/>
        <v>7694656.5</v>
      </c>
      <c r="W129" s="733">
        <f>E129+G129+K129</f>
        <v>7389880</v>
      </c>
      <c r="X129" s="768"/>
      <c r="Y129" s="769"/>
      <c r="Z129" s="739">
        <v>4724226.5</v>
      </c>
      <c r="AA129" s="768">
        <v>5940360</v>
      </c>
    </row>
    <row r="130" spans="1:27">
      <c r="A130" s="201">
        <f t="shared" si="55"/>
        <v>680</v>
      </c>
      <c r="E130" s="227"/>
      <c r="F130" s="202"/>
      <c r="G130" s="202"/>
      <c r="H130" s="203"/>
      <c r="I130" s="202"/>
      <c r="J130" s="202"/>
      <c r="K130" s="202"/>
      <c r="L130" s="204"/>
      <c r="M130" s="204"/>
      <c r="N130" s="204">
        <f t="shared" si="43"/>
        <v>0</v>
      </c>
      <c r="O130" s="717"/>
      <c r="P130" s="204">
        <f t="shared" si="44"/>
        <v>0</v>
      </c>
      <c r="Q130" s="466"/>
      <c r="R130" s="466"/>
      <c r="S130" s="466"/>
      <c r="T130" s="466"/>
      <c r="U130" s="205">
        <f t="shared" si="45"/>
        <v>0</v>
      </c>
      <c r="V130" s="205">
        <f t="shared" si="66"/>
        <v>0</v>
      </c>
      <c r="W130" s="202"/>
      <c r="X130" s="205"/>
      <c r="Y130" s="467"/>
      <c r="Z130" s="208"/>
      <c r="AA130" s="205">
        <v>0</v>
      </c>
    </row>
    <row r="131" spans="1:27">
      <c r="A131" s="201">
        <f t="shared" si="55"/>
        <v>681</v>
      </c>
      <c r="B131" s="461" t="s">
        <v>1106</v>
      </c>
      <c r="C131" s="89">
        <v>283084.92921300005</v>
      </c>
      <c r="E131" s="227"/>
      <c r="F131" s="202"/>
      <c r="G131" s="202"/>
      <c r="H131" s="203"/>
      <c r="I131" s="202"/>
      <c r="J131" s="202"/>
      <c r="K131" s="202"/>
      <c r="L131" s="204"/>
      <c r="M131" s="204"/>
      <c r="N131" s="204">
        <f t="shared" si="43"/>
        <v>0</v>
      </c>
      <c r="O131" s="717"/>
      <c r="P131" s="204">
        <f t="shared" si="44"/>
        <v>0</v>
      </c>
      <c r="Q131" s="466"/>
      <c r="R131" s="466"/>
      <c r="S131" s="66">
        <f t="shared" ref="S131:T136" si="70">Q131+R131</f>
        <v>0</v>
      </c>
      <c r="T131" s="66">
        <f t="shared" si="70"/>
        <v>0</v>
      </c>
      <c r="U131" s="205">
        <f t="shared" si="45"/>
        <v>0</v>
      </c>
      <c r="V131" s="205">
        <f t="shared" si="66"/>
        <v>0</v>
      </c>
      <c r="W131" s="202"/>
      <c r="X131" s="205"/>
      <c r="Y131" s="467"/>
      <c r="Z131" s="208">
        <v>0</v>
      </c>
      <c r="AA131" s="205">
        <v>0</v>
      </c>
    </row>
    <row r="132" spans="1:27">
      <c r="A132" s="201">
        <f t="shared" si="55"/>
        <v>682</v>
      </c>
      <c r="B132" s="446" t="s">
        <v>1107</v>
      </c>
      <c r="D132" s="89">
        <v>40284</v>
      </c>
      <c r="E132" s="227"/>
      <c r="F132" s="202">
        <v>15964</v>
      </c>
      <c r="G132" s="202">
        <v>15964</v>
      </c>
      <c r="H132" s="203"/>
      <c r="I132" s="202"/>
      <c r="J132" s="202">
        <v>15964</v>
      </c>
      <c r="K132" s="202">
        <f>J132</f>
        <v>15964</v>
      </c>
      <c r="L132" s="204"/>
      <c r="M132" s="204">
        <v>15964</v>
      </c>
      <c r="N132" s="204">
        <f t="shared" si="43"/>
        <v>15964</v>
      </c>
      <c r="O132" s="717"/>
      <c r="P132" s="204">
        <f t="shared" si="44"/>
        <v>15964</v>
      </c>
      <c r="Q132" s="466">
        <v>15964</v>
      </c>
      <c r="R132" s="466"/>
      <c r="S132" s="66">
        <f t="shared" si="70"/>
        <v>15964</v>
      </c>
      <c r="T132" s="66">
        <f t="shared" si="70"/>
        <v>15964</v>
      </c>
      <c r="U132" s="205">
        <f t="shared" si="45"/>
        <v>31928</v>
      </c>
      <c r="V132" s="205">
        <f t="shared" si="66"/>
        <v>47892</v>
      </c>
      <c r="W132" s="202"/>
      <c r="X132" s="205"/>
      <c r="Y132" s="467"/>
      <c r="Z132" s="208">
        <v>31928</v>
      </c>
      <c r="AA132" s="205">
        <v>40284</v>
      </c>
    </row>
    <row r="133" spans="1:27" ht="78.75">
      <c r="A133" s="201">
        <f t="shared" si="55"/>
        <v>683</v>
      </c>
      <c r="B133" s="446" t="s">
        <v>1108</v>
      </c>
      <c r="D133" s="89">
        <v>110000</v>
      </c>
      <c r="E133" s="227"/>
      <c r="F133" s="202">
        <v>105000</v>
      </c>
      <c r="G133" s="202"/>
      <c r="H133" s="203"/>
      <c r="I133" s="202">
        <v>20000</v>
      </c>
      <c r="J133" s="202">
        <v>105000</v>
      </c>
      <c r="K133" s="202">
        <f t="shared" ref="K133:K135" si="71">J133</f>
        <v>105000</v>
      </c>
      <c r="L133" s="204">
        <v>20000</v>
      </c>
      <c r="M133" s="204">
        <v>105000</v>
      </c>
      <c r="N133" s="204">
        <f t="shared" si="43"/>
        <v>125000</v>
      </c>
      <c r="O133" s="717" t="s">
        <v>1109</v>
      </c>
      <c r="P133" s="204">
        <f t="shared" si="44"/>
        <v>125000</v>
      </c>
      <c r="Q133" s="466">
        <v>83000</v>
      </c>
      <c r="R133" s="466">
        <f>20000*0.7</f>
        <v>14000</v>
      </c>
      <c r="S133" s="66">
        <v>83000</v>
      </c>
      <c r="T133" s="66">
        <f t="shared" si="70"/>
        <v>97000</v>
      </c>
      <c r="U133" s="205">
        <f t="shared" si="45"/>
        <v>180000</v>
      </c>
      <c r="V133" s="205">
        <f t="shared" si="66"/>
        <v>305000</v>
      </c>
      <c r="W133" s="202"/>
      <c r="X133" s="761" t="s">
        <v>1110</v>
      </c>
      <c r="Y133" s="767" t="s">
        <v>1111</v>
      </c>
      <c r="Z133" s="208">
        <v>250000</v>
      </c>
      <c r="AA133" s="205">
        <v>120000</v>
      </c>
    </row>
    <row r="134" spans="1:27">
      <c r="A134" s="201">
        <f t="shared" si="55"/>
        <v>684</v>
      </c>
      <c r="B134" s="446" t="s">
        <v>1112</v>
      </c>
      <c r="D134" s="89">
        <v>10350</v>
      </c>
      <c r="E134" s="227"/>
      <c r="F134" s="202">
        <v>3450</v>
      </c>
      <c r="G134" s="202">
        <v>3450</v>
      </c>
      <c r="H134" s="203"/>
      <c r="I134" s="202"/>
      <c r="J134" s="202">
        <v>3450</v>
      </c>
      <c r="K134" s="202">
        <f t="shared" si="71"/>
        <v>3450</v>
      </c>
      <c r="L134" s="204"/>
      <c r="M134" s="204">
        <v>3450</v>
      </c>
      <c r="N134" s="204">
        <f t="shared" si="43"/>
        <v>3450</v>
      </c>
      <c r="O134" s="717"/>
      <c r="P134" s="204">
        <f t="shared" si="44"/>
        <v>3450</v>
      </c>
      <c r="Q134" s="466">
        <v>3450</v>
      </c>
      <c r="R134" s="466"/>
      <c r="S134" s="66">
        <f t="shared" si="70"/>
        <v>3450</v>
      </c>
      <c r="T134" s="66">
        <f t="shared" si="70"/>
        <v>3450</v>
      </c>
      <c r="U134" s="205">
        <f t="shared" si="45"/>
        <v>6900</v>
      </c>
      <c r="V134" s="205">
        <f t="shared" si="66"/>
        <v>10350</v>
      </c>
      <c r="W134" s="202"/>
      <c r="X134" s="205"/>
      <c r="Y134" s="467"/>
      <c r="Z134" s="208">
        <v>6900</v>
      </c>
      <c r="AA134" s="205">
        <v>10350</v>
      </c>
    </row>
    <row r="135" spans="1:27">
      <c r="A135" s="201">
        <f t="shared" si="55"/>
        <v>685</v>
      </c>
      <c r="B135" s="446" t="s">
        <v>1015</v>
      </c>
      <c r="D135" s="89">
        <v>7800</v>
      </c>
      <c r="E135" s="227"/>
      <c r="F135" s="202">
        <v>2600</v>
      </c>
      <c r="G135" s="202">
        <v>2600</v>
      </c>
      <c r="H135" s="203"/>
      <c r="I135" s="202"/>
      <c r="J135" s="202">
        <v>2600</v>
      </c>
      <c r="K135" s="202">
        <f t="shared" si="71"/>
        <v>2600</v>
      </c>
      <c r="L135" s="204"/>
      <c r="M135" s="204">
        <v>2600</v>
      </c>
      <c r="N135" s="204">
        <f t="shared" ref="N135:N148" si="72">L135+M135</f>
        <v>2600</v>
      </c>
      <c r="O135" s="717"/>
      <c r="P135" s="204">
        <f t="shared" ref="P135:P149" si="73">N135</f>
        <v>2600</v>
      </c>
      <c r="Q135" s="466">
        <v>2600</v>
      </c>
      <c r="R135" s="466"/>
      <c r="S135" s="66">
        <f t="shared" si="70"/>
        <v>2600</v>
      </c>
      <c r="T135" s="66">
        <f t="shared" si="70"/>
        <v>2600</v>
      </c>
      <c r="U135" s="205">
        <f t="shared" ref="U135:U149" si="74">Q135+T135</f>
        <v>5200</v>
      </c>
      <c r="V135" s="205">
        <f t="shared" si="66"/>
        <v>7800</v>
      </c>
      <c r="W135" s="202"/>
      <c r="X135" s="205"/>
      <c r="Y135" s="467"/>
      <c r="Z135" s="208">
        <v>5200</v>
      </c>
      <c r="AA135" s="205">
        <v>7800</v>
      </c>
    </row>
    <row r="136" spans="1:27">
      <c r="A136" s="201" t="s">
        <v>1113</v>
      </c>
      <c r="B136" s="446" t="s">
        <v>919</v>
      </c>
      <c r="E136" s="227"/>
      <c r="F136" s="202"/>
      <c r="G136" s="202"/>
      <c r="H136" s="203"/>
      <c r="I136" s="202"/>
      <c r="J136" s="202"/>
      <c r="K136" s="202"/>
      <c r="L136" s="204"/>
      <c r="M136" s="204"/>
      <c r="N136" s="204">
        <f t="shared" si="72"/>
        <v>0</v>
      </c>
      <c r="O136" s="717"/>
      <c r="P136" s="204">
        <f t="shared" si="73"/>
        <v>0</v>
      </c>
      <c r="Q136" s="466"/>
      <c r="R136" s="466"/>
      <c r="S136" s="66">
        <f t="shared" si="70"/>
        <v>0</v>
      </c>
      <c r="T136" s="66">
        <f t="shared" si="70"/>
        <v>0</v>
      </c>
      <c r="U136" s="205">
        <f t="shared" si="74"/>
        <v>0</v>
      </c>
      <c r="V136" s="205">
        <f t="shared" si="66"/>
        <v>0</v>
      </c>
      <c r="W136" s="202"/>
      <c r="X136" s="205"/>
      <c r="Y136" s="467"/>
      <c r="Z136" s="208">
        <v>0</v>
      </c>
      <c r="AA136" s="205"/>
    </row>
    <row r="137" spans="1:27" s="731" customFormat="1">
      <c r="A137" s="730">
        <f>A135+1</f>
        <v>686</v>
      </c>
      <c r="B137" s="731" t="s">
        <v>1114</v>
      </c>
      <c r="C137" s="733">
        <f>SUM(C131:C135)</f>
        <v>283084.92921300005</v>
      </c>
      <c r="D137" s="733">
        <v>168434</v>
      </c>
      <c r="E137" s="733">
        <v>41977</v>
      </c>
      <c r="F137" s="733">
        <f t="shared" ref="F137:I137" si="75">SUM(F131:F135)</f>
        <v>127014</v>
      </c>
      <c r="G137" s="733">
        <f t="shared" si="75"/>
        <v>22014</v>
      </c>
      <c r="H137" s="734"/>
      <c r="I137" s="733">
        <f t="shared" si="75"/>
        <v>20000</v>
      </c>
      <c r="J137" s="733">
        <f>SUM(J131:J136)</f>
        <v>127014</v>
      </c>
      <c r="K137" s="733">
        <f>SUM(K131:K136)</f>
        <v>127014</v>
      </c>
      <c r="L137" s="735">
        <f t="shared" ref="L137:N137" si="76">SUM(L131:L135)</f>
        <v>20000</v>
      </c>
      <c r="M137" s="735">
        <f t="shared" si="76"/>
        <v>127014</v>
      </c>
      <c r="N137" s="735">
        <f t="shared" si="76"/>
        <v>147014</v>
      </c>
      <c r="O137" s="736"/>
      <c r="P137" s="735">
        <f t="shared" si="73"/>
        <v>147014</v>
      </c>
      <c r="Q137" s="737">
        <f>SUM(Q131:Q135)</f>
        <v>105014</v>
      </c>
      <c r="R137" s="737">
        <f t="shared" ref="R137:V137" si="77">SUM(R131:R135)</f>
        <v>14000</v>
      </c>
      <c r="S137" s="737">
        <f t="shared" si="77"/>
        <v>105014</v>
      </c>
      <c r="T137" s="737">
        <f t="shared" si="77"/>
        <v>119014</v>
      </c>
      <c r="U137" s="737">
        <f t="shared" si="74"/>
        <v>224028</v>
      </c>
      <c r="V137" s="737">
        <f t="shared" si="77"/>
        <v>371042</v>
      </c>
      <c r="W137" s="733">
        <f>E137+G137+K137</f>
        <v>191005</v>
      </c>
      <c r="X137" s="737"/>
      <c r="Y137" s="769"/>
      <c r="Z137" s="739">
        <v>294028</v>
      </c>
      <c r="AA137" s="737">
        <v>178434</v>
      </c>
    </row>
    <row r="138" spans="1:27">
      <c r="A138" s="201">
        <f t="shared" si="55"/>
        <v>687</v>
      </c>
      <c r="E138" s="227"/>
      <c r="F138" s="202"/>
      <c r="G138" s="202"/>
      <c r="H138" s="203"/>
      <c r="I138" s="202"/>
      <c r="J138" s="202"/>
      <c r="K138" s="202"/>
      <c r="L138" s="204"/>
      <c r="M138" s="204"/>
      <c r="N138" s="204">
        <f t="shared" si="72"/>
        <v>0</v>
      </c>
      <c r="O138" s="717"/>
      <c r="P138" s="204">
        <f t="shared" si="73"/>
        <v>0</v>
      </c>
      <c r="Q138" s="466"/>
      <c r="R138" s="466"/>
      <c r="S138" s="466"/>
      <c r="T138" s="466"/>
      <c r="U138" s="466">
        <f t="shared" si="74"/>
        <v>0</v>
      </c>
      <c r="V138" s="466">
        <f t="shared" si="66"/>
        <v>0</v>
      </c>
      <c r="W138" s="202"/>
      <c r="X138" s="466"/>
      <c r="Y138" s="467"/>
      <c r="Z138" s="208"/>
      <c r="AA138" s="466">
        <v>0</v>
      </c>
    </row>
    <row r="139" spans="1:27">
      <c r="A139" s="201">
        <f t="shared" si="55"/>
        <v>688</v>
      </c>
      <c r="B139" s="461" t="s">
        <v>1115</v>
      </c>
      <c r="C139" s="89">
        <f>445707.78-150000</f>
        <v>295707.78000000003</v>
      </c>
      <c r="E139" s="227"/>
      <c r="F139" s="202"/>
      <c r="G139" s="202"/>
      <c r="H139" s="203"/>
      <c r="I139" s="202"/>
      <c r="J139" s="202"/>
      <c r="K139" s="202"/>
      <c r="L139" s="204"/>
      <c r="M139" s="204"/>
      <c r="N139" s="204">
        <f t="shared" si="72"/>
        <v>0</v>
      </c>
      <c r="O139" s="717"/>
      <c r="P139" s="204">
        <f t="shared" si="73"/>
        <v>0</v>
      </c>
      <c r="Q139" s="466"/>
      <c r="R139" s="466"/>
      <c r="S139" s="466"/>
      <c r="T139" s="466"/>
      <c r="U139" s="466">
        <f t="shared" si="74"/>
        <v>0</v>
      </c>
      <c r="V139" s="466">
        <f t="shared" si="66"/>
        <v>0</v>
      </c>
      <c r="W139" s="202"/>
      <c r="X139" s="466"/>
      <c r="Y139" s="467"/>
      <c r="Z139" s="208"/>
      <c r="AA139" s="466">
        <v>0</v>
      </c>
    </row>
    <row r="140" spans="1:27">
      <c r="A140" s="201">
        <f t="shared" si="55"/>
        <v>689</v>
      </c>
      <c r="B140" s="446" t="s">
        <v>1107</v>
      </c>
      <c r="D140" s="89">
        <v>84000</v>
      </c>
      <c r="E140" s="227"/>
      <c r="F140" s="202">
        <v>28000</v>
      </c>
      <c r="G140" s="202">
        <v>28000</v>
      </c>
      <c r="H140" s="203"/>
      <c r="I140" s="202">
        <v>4000</v>
      </c>
      <c r="J140" s="202">
        <v>18000</v>
      </c>
      <c r="K140" s="202">
        <f>J140</f>
        <v>18000</v>
      </c>
      <c r="L140" s="204">
        <v>4000</v>
      </c>
      <c r="M140" s="204">
        <v>18000</v>
      </c>
      <c r="N140" s="204">
        <f t="shared" si="72"/>
        <v>22000</v>
      </c>
      <c r="O140" s="717"/>
      <c r="P140" s="204">
        <f t="shared" si="73"/>
        <v>22000</v>
      </c>
      <c r="Q140" s="466">
        <v>18000</v>
      </c>
      <c r="R140" s="466"/>
      <c r="S140" s="66">
        <f t="shared" ref="S140:T141" si="78">Q140+R140</f>
        <v>18000</v>
      </c>
      <c r="T140" s="66">
        <f t="shared" si="78"/>
        <v>18000</v>
      </c>
      <c r="U140" s="205">
        <f t="shared" si="74"/>
        <v>36000</v>
      </c>
      <c r="V140" s="205">
        <f t="shared" si="66"/>
        <v>58000</v>
      </c>
      <c r="W140" s="202"/>
      <c r="X140" s="205"/>
      <c r="Y140" s="467"/>
      <c r="Z140" s="208">
        <v>36000</v>
      </c>
      <c r="AA140" s="205">
        <v>84000</v>
      </c>
    </row>
    <row r="141" spans="1:27" ht="24" customHeight="1">
      <c r="A141" s="201">
        <f t="shared" si="55"/>
        <v>690</v>
      </c>
      <c r="B141" s="446" t="s">
        <v>1116</v>
      </c>
      <c r="D141" s="89">
        <v>54000</v>
      </c>
      <c r="E141" s="227"/>
      <c r="F141" s="202">
        <v>118000</v>
      </c>
      <c r="G141" s="202">
        <v>94400</v>
      </c>
      <c r="H141" s="203" t="s">
        <v>1117</v>
      </c>
      <c r="I141" s="202">
        <v>9000</v>
      </c>
      <c r="J141" s="202">
        <v>9000</v>
      </c>
      <c r="K141" s="202">
        <f>J141</f>
        <v>9000</v>
      </c>
      <c r="L141" s="204">
        <v>9000</v>
      </c>
      <c r="M141" s="204">
        <v>9000</v>
      </c>
      <c r="N141" s="204">
        <f t="shared" si="72"/>
        <v>18000</v>
      </c>
      <c r="O141" s="717"/>
      <c r="P141" s="204">
        <f t="shared" si="73"/>
        <v>18000</v>
      </c>
      <c r="Q141" s="466">
        <v>15000</v>
      </c>
      <c r="R141" s="466"/>
      <c r="S141" s="66">
        <f t="shared" si="78"/>
        <v>15000</v>
      </c>
      <c r="T141" s="66">
        <f t="shared" si="78"/>
        <v>15000</v>
      </c>
      <c r="U141" s="205">
        <f t="shared" si="74"/>
        <v>30000</v>
      </c>
      <c r="V141" s="205">
        <f t="shared" si="66"/>
        <v>48000</v>
      </c>
      <c r="W141" s="202"/>
      <c r="X141" s="205"/>
      <c r="Y141" s="467"/>
      <c r="Z141" s="208">
        <v>30000</v>
      </c>
      <c r="AA141" s="205">
        <v>54000</v>
      </c>
    </row>
    <row r="142" spans="1:27" s="731" customFormat="1">
      <c r="A142" s="730">
        <f t="shared" si="55"/>
        <v>691</v>
      </c>
      <c r="B142" s="731" t="s">
        <v>1118</v>
      </c>
      <c r="C142" s="732">
        <f>SUM(C139:C141)</f>
        <v>295707.78000000003</v>
      </c>
      <c r="D142" s="732">
        <v>138000</v>
      </c>
      <c r="E142" s="732">
        <v>46736</v>
      </c>
      <c r="F142" s="732">
        <f t="shared" ref="F142:N142" si="79">SUM(F139:F141)</f>
        <v>146000</v>
      </c>
      <c r="G142" s="732">
        <f t="shared" si="79"/>
        <v>122400</v>
      </c>
      <c r="H142" s="770"/>
      <c r="I142" s="732">
        <f t="shared" si="79"/>
        <v>13000</v>
      </c>
      <c r="J142" s="732">
        <f t="shared" si="79"/>
        <v>27000</v>
      </c>
      <c r="K142" s="732">
        <f t="shared" si="79"/>
        <v>27000</v>
      </c>
      <c r="L142" s="771">
        <f t="shared" si="79"/>
        <v>13000</v>
      </c>
      <c r="M142" s="771">
        <f t="shared" si="79"/>
        <v>27000</v>
      </c>
      <c r="N142" s="771">
        <f t="shared" si="79"/>
        <v>40000</v>
      </c>
      <c r="O142" s="736"/>
      <c r="P142" s="771">
        <f t="shared" si="73"/>
        <v>40000</v>
      </c>
      <c r="Q142" s="772">
        <f t="shared" ref="Q142:V142" si="80">SUM(Q139:Q141)</f>
        <v>33000</v>
      </c>
      <c r="R142" s="772">
        <f t="shared" si="80"/>
        <v>0</v>
      </c>
      <c r="S142" s="772">
        <f t="shared" si="80"/>
        <v>33000</v>
      </c>
      <c r="T142" s="772">
        <f t="shared" si="80"/>
        <v>33000</v>
      </c>
      <c r="U142" s="772">
        <f t="shared" si="74"/>
        <v>66000</v>
      </c>
      <c r="V142" s="772">
        <f t="shared" si="80"/>
        <v>106000</v>
      </c>
      <c r="W142" s="732">
        <f>E142+G142+K142</f>
        <v>196136</v>
      </c>
      <c r="X142" s="772"/>
      <c r="Y142" s="769"/>
      <c r="Z142" s="773">
        <v>66000</v>
      </c>
      <c r="AA142" s="772">
        <v>138000</v>
      </c>
    </row>
    <row r="143" spans="1:27">
      <c r="A143" s="201">
        <f t="shared" si="55"/>
        <v>692</v>
      </c>
      <c r="B143" s="446" t="s">
        <v>443</v>
      </c>
      <c r="D143" s="89">
        <v>0</v>
      </c>
      <c r="E143" s="227"/>
      <c r="F143" s="202"/>
      <c r="G143" s="202">
        <v>0</v>
      </c>
      <c r="H143" s="203"/>
      <c r="I143" s="202"/>
      <c r="J143" s="202"/>
      <c r="K143" s="202"/>
      <c r="L143" s="204"/>
      <c r="M143" s="204"/>
      <c r="N143" s="204">
        <f t="shared" si="72"/>
        <v>0</v>
      </c>
      <c r="O143" s="717"/>
      <c r="P143" s="204">
        <f t="shared" si="73"/>
        <v>0</v>
      </c>
      <c r="Q143" s="466"/>
      <c r="R143" s="466"/>
      <c r="S143" s="466"/>
      <c r="T143" s="466"/>
      <c r="U143" s="466">
        <f t="shared" si="74"/>
        <v>0</v>
      </c>
      <c r="V143" s="466">
        <f t="shared" si="66"/>
        <v>0</v>
      </c>
      <c r="W143" s="202"/>
      <c r="X143" s="466"/>
      <c r="Y143" s="467"/>
      <c r="Z143" s="208"/>
      <c r="AA143" s="466">
        <v>0</v>
      </c>
    </row>
    <row r="144" spans="1:27">
      <c r="A144" s="201" t="s">
        <v>1119</v>
      </c>
      <c r="B144" s="446" t="s">
        <v>919</v>
      </c>
      <c r="E144" s="227"/>
      <c r="F144" s="202"/>
      <c r="G144" s="202"/>
      <c r="H144" s="203"/>
      <c r="I144" s="202"/>
      <c r="J144" s="202"/>
      <c r="K144" s="202">
        <v>33000</v>
      </c>
      <c r="L144" s="204"/>
      <c r="M144" s="204"/>
      <c r="N144" s="204">
        <f t="shared" si="72"/>
        <v>0</v>
      </c>
      <c r="O144" s="717"/>
      <c r="P144" s="204">
        <f t="shared" si="73"/>
        <v>0</v>
      </c>
      <c r="Q144" s="466"/>
      <c r="R144" s="466"/>
      <c r="S144" s="466"/>
      <c r="T144" s="466"/>
      <c r="U144" s="466">
        <f t="shared" si="74"/>
        <v>0</v>
      </c>
      <c r="V144" s="466">
        <f t="shared" si="66"/>
        <v>0</v>
      </c>
      <c r="W144" s="202">
        <f>E144+G144+K144</f>
        <v>33000</v>
      </c>
      <c r="X144" s="466"/>
      <c r="Y144" s="467"/>
      <c r="Z144" s="208"/>
      <c r="AA144" s="466"/>
    </row>
    <row r="145" spans="1:27" ht="31.5">
      <c r="A145" s="201">
        <f>A143+1</f>
        <v>693</v>
      </c>
      <c r="B145" s="446" t="s">
        <v>190</v>
      </c>
      <c r="C145" s="89">
        <f>'[4]Salary Summary GC Adopted'!Y19</f>
        <v>1049260.6503875111</v>
      </c>
      <c r="D145" s="89">
        <v>1167814.7322091702</v>
      </c>
      <c r="E145" s="89">
        <v>370353</v>
      </c>
      <c r="F145" s="89">
        <f>'[3]Salary Summary 19 for 2019-2021'!L21</f>
        <v>397838.330175512</v>
      </c>
      <c r="G145" s="89">
        <v>397838</v>
      </c>
      <c r="J145" s="89">
        <f>'[3]Salary Summary 20 for 2019-2021'!P21</f>
        <v>407921.71190234425</v>
      </c>
      <c r="K145" s="446">
        <f>J145</f>
        <v>407921.71190234425</v>
      </c>
      <c r="L145" s="464"/>
      <c r="M145" s="741">
        <f>'Salary Summary 21 for 2022-2024'!M22</f>
        <v>162507.7505727486</v>
      </c>
      <c r="N145" s="741">
        <f t="shared" si="72"/>
        <v>162507.7505727486</v>
      </c>
      <c r="O145" s="212"/>
      <c r="P145" s="741">
        <f t="shared" si="73"/>
        <v>162507.7505727486</v>
      </c>
      <c r="Q145" s="719">
        <f>'Salary Summary 21 for 2022-2024'!Q22</f>
        <v>167709.10464396235</v>
      </c>
      <c r="R145" s="466"/>
      <c r="S145" s="719">
        <f>'Salary Summary 21 for 2022-2024'!U22</f>
        <v>173937.94290262894</v>
      </c>
      <c r="T145" s="66">
        <f>R145+S145</f>
        <v>173937.94290262894</v>
      </c>
      <c r="U145" s="205">
        <f t="shared" si="74"/>
        <v>341647.04754659126</v>
      </c>
      <c r="V145" s="205">
        <f t="shared" si="66"/>
        <v>504154.79811933986</v>
      </c>
      <c r="W145" s="446">
        <f>E145+G145+K145</f>
        <v>1176112.7119023441</v>
      </c>
      <c r="X145" s="205"/>
      <c r="Y145" s="767" t="s">
        <v>1120</v>
      </c>
      <c r="Z145" s="774">
        <v>341647.04754659126</v>
      </c>
      <c r="AA145" s="205">
        <v>1162399.5077101379</v>
      </c>
    </row>
    <row r="146" spans="1:27" s="722" customFormat="1">
      <c r="A146" s="217">
        <f t="shared" ref="A146:A147" si="81">A145+1</f>
        <v>694</v>
      </c>
      <c r="B146" s="722" t="s">
        <v>1121</v>
      </c>
      <c r="C146" s="219">
        <f>C145+C142+C137+C129</f>
        <v>7131037.9096005112</v>
      </c>
      <c r="D146" s="219">
        <v>7414608.7322091702</v>
      </c>
      <c r="E146" s="219">
        <f t="shared" ref="E146:H146" si="82">E145+E142+E137+E129</f>
        <v>2655306</v>
      </c>
      <c r="F146" s="219">
        <f t="shared" si="82"/>
        <v>3592422.330175512</v>
      </c>
      <c r="G146" s="219">
        <f t="shared" si="82"/>
        <v>3467822</v>
      </c>
      <c r="H146" s="219">
        <f t="shared" si="82"/>
        <v>0</v>
      </c>
      <c r="I146" s="219">
        <f>I145+I142+I137+I129</f>
        <v>33000</v>
      </c>
      <c r="J146" s="219">
        <f t="shared" ref="J146:K146" si="83">J145+J142+J137+J129</f>
        <v>2830005.7119023441</v>
      </c>
      <c r="K146" s="219">
        <f t="shared" si="83"/>
        <v>2830005.7119023441</v>
      </c>
      <c r="L146" s="220">
        <f>L145+L142+L137+L129</f>
        <v>33000</v>
      </c>
      <c r="M146" s="220">
        <f t="shared" ref="M146:N146" si="84">M145+M142+M137+M129</f>
        <v>3286951.7505727485</v>
      </c>
      <c r="N146" s="220">
        <f t="shared" si="84"/>
        <v>3319951.7505727485</v>
      </c>
      <c r="O146" s="759"/>
      <c r="P146" s="220">
        <f t="shared" si="73"/>
        <v>3319951.7505727485</v>
      </c>
      <c r="Q146" s="222">
        <f>Q145+Q142+Q137+Q129</f>
        <v>2652103.1046439623</v>
      </c>
      <c r="R146" s="222">
        <f t="shared" ref="R146:V146" si="85">R145+R142+R137+R129</f>
        <v>14000</v>
      </c>
      <c r="S146" s="222">
        <f t="shared" si="85"/>
        <v>2689798.4429026288</v>
      </c>
      <c r="T146" s="222">
        <f t="shared" si="85"/>
        <v>2703798.4429026288</v>
      </c>
      <c r="U146" s="222">
        <f t="shared" si="74"/>
        <v>5355901.5475465916</v>
      </c>
      <c r="V146" s="222">
        <f t="shared" si="85"/>
        <v>8675853.2981193401</v>
      </c>
      <c r="W146" s="219">
        <f>E146+G146+K146</f>
        <v>8953133.7119023446</v>
      </c>
      <c r="X146" s="222"/>
      <c r="Y146" s="766"/>
      <c r="Z146" s="224">
        <v>5425901.5475465916</v>
      </c>
      <c r="AA146" s="222">
        <v>7419193.5077101383</v>
      </c>
    </row>
    <row r="147" spans="1:27" s="461" customFormat="1">
      <c r="A147" s="452">
        <f t="shared" si="81"/>
        <v>695</v>
      </c>
      <c r="B147" s="461" t="s">
        <v>1122</v>
      </c>
      <c r="C147" s="454">
        <f>C146+C100+C82+C74</f>
        <v>16655120.786570068</v>
      </c>
      <c r="D147" s="454">
        <v>17411661.748919137</v>
      </c>
      <c r="E147" s="723">
        <f t="shared" ref="E147:H147" si="86">E146+E100+E82+E74</f>
        <v>5508429</v>
      </c>
      <c r="F147" s="723">
        <f t="shared" si="86"/>
        <v>6885816.0342137441</v>
      </c>
      <c r="G147" s="723">
        <f t="shared" si="86"/>
        <v>6634965.7040382316</v>
      </c>
      <c r="H147" s="723">
        <f t="shared" si="86"/>
        <v>0</v>
      </c>
      <c r="I147" s="723">
        <f>I146+I100+I82+I74</f>
        <v>82500</v>
      </c>
      <c r="J147" s="723">
        <f t="shared" ref="J147:K147" si="87">J146+J100+J82+J74</f>
        <v>6160497.1302001253</v>
      </c>
      <c r="K147" s="723">
        <f t="shared" si="87"/>
        <v>6209997.1302001253</v>
      </c>
      <c r="L147" s="724">
        <f>L146+L100+L82+L74</f>
        <v>76500</v>
      </c>
      <c r="M147" s="724">
        <f t="shared" ref="M147:N147" si="88">M146+M100+M82+M74</f>
        <v>6807843.6521774177</v>
      </c>
      <c r="N147" s="724">
        <f t="shared" si="88"/>
        <v>6884343.6521774177</v>
      </c>
      <c r="O147" s="775"/>
      <c r="P147" s="724">
        <f t="shared" si="73"/>
        <v>6884343.6521774177</v>
      </c>
      <c r="Q147" s="513">
        <f>Q146+Q100+Q82+Q74</f>
        <v>6122024.6605086233</v>
      </c>
      <c r="R147" s="513">
        <f t="shared" ref="R147:V147" si="89">R146+R100+R82+R74</f>
        <v>187500</v>
      </c>
      <c r="S147" s="513">
        <f t="shared" si="89"/>
        <v>6228678.0944342781</v>
      </c>
      <c r="T147" s="513">
        <f t="shared" si="89"/>
        <v>6416178.0944342781</v>
      </c>
      <c r="U147" s="513">
        <f t="shared" si="74"/>
        <v>12538202.754942901</v>
      </c>
      <c r="V147" s="513">
        <f t="shared" si="89"/>
        <v>19422546.407120317</v>
      </c>
      <c r="W147" s="723">
        <f>E147+G147+K147</f>
        <v>18353391.834238358</v>
      </c>
      <c r="X147" s="765"/>
      <c r="Y147" s="462"/>
      <c r="Z147" s="727">
        <v>12549602.754942901</v>
      </c>
      <c r="AA147" s="513">
        <v>17342195.675345946</v>
      </c>
    </row>
    <row r="148" spans="1:27" ht="19.5" customHeight="1">
      <c r="A148" s="521" t="s">
        <v>1123</v>
      </c>
      <c r="B148" s="446" t="s">
        <v>874</v>
      </c>
      <c r="D148" s="202">
        <v>-60500</v>
      </c>
      <c r="G148" s="89">
        <f>F148</f>
        <v>0</v>
      </c>
      <c r="L148" s="464"/>
      <c r="M148" s="464"/>
      <c r="N148" s="464">
        <f t="shared" si="72"/>
        <v>0</v>
      </c>
      <c r="O148" s="465"/>
      <c r="P148" s="464">
        <f t="shared" si="73"/>
        <v>0</v>
      </c>
      <c r="Q148" s="466"/>
      <c r="R148" s="466"/>
      <c r="S148" s="66">
        <f t="shared" ref="S148" si="90">Q148+R148</f>
        <v>0</v>
      </c>
      <c r="T148" s="66">
        <f>R148+S148</f>
        <v>0</v>
      </c>
      <c r="U148" s="205">
        <f t="shared" si="74"/>
        <v>0</v>
      </c>
      <c r="V148" s="205">
        <f t="shared" si="66"/>
        <v>0</v>
      </c>
      <c r="X148" s="205"/>
      <c r="Y148" s="467"/>
      <c r="Z148" s="257">
        <v>0</v>
      </c>
      <c r="AA148" s="205">
        <v>0</v>
      </c>
    </row>
    <row r="149" spans="1:27" s="479" customFormat="1" ht="21.4" customHeight="1" thickBot="1">
      <c r="A149" s="217" t="s">
        <v>1124</v>
      </c>
      <c r="B149" s="722" t="s">
        <v>1125</v>
      </c>
      <c r="C149" s="219">
        <f>+C146+C100+C67+C82+C53+C74+C23</f>
        <v>39458739.246987455</v>
      </c>
      <c r="D149" s="219">
        <v>40291470.95311594</v>
      </c>
      <c r="E149" s="219">
        <f>+E146+E100+E67+E82+E53+E74+E23</f>
        <v>12774991</v>
      </c>
      <c r="F149" s="219" t="e">
        <f t="shared" ref="F149:H149" si="91">+F146+F100+F67+F82+F53+F74+F23</f>
        <v>#REF!</v>
      </c>
      <c r="G149" s="219">
        <f t="shared" si="91"/>
        <v>14323250.900300581</v>
      </c>
      <c r="H149" s="219">
        <f t="shared" si="91"/>
        <v>0</v>
      </c>
      <c r="I149" s="219">
        <f>+I146+I100+I67+I82+I53+I74+I23</f>
        <v>128500</v>
      </c>
      <c r="J149" s="219">
        <f t="shared" ref="J149:K149" si="92">+J146+J100+J67+J82+J53+J74+J23</f>
        <v>14309244.574439177</v>
      </c>
      <c r="K149" s="219">
        <f t="shared" si="92"/>
        <v>14372744.574439177</v>
      </c>
      <c r="L149" s="220">
        <f>+L146+L100+L67+L82+L53+L74+L23</f>
        <v>124500</v>
      </c>
      <c r="M149" s="220">
        <f t="shared" ref="M149:N149" si="93">+M146+M100+M67+M82+M53+M74+M23</f>
        <v>15181036.042274641</v>
      </c>
      <c r="N149" s="220">
        <f t="shared" si="93"/>
        <v>15305536.042274641</v>
      </c>
      <c r="O149" s="465"/>
      <c r="P149" s="220">
        <f t="shared" si="73"/>
        <v>15305536.042274641</v>
      </c>
      <c r="Q149" s="222">
        <f t="shared" ref="Q149:T149" si="94">+Q146+Q100+Q67+Q82+Q53+Q74+Q23</f>
        <v>14510722.674879393</v>
      </c>
      <c r="R149" s="222">
        <f t="shared" si="94"/>
        <v>236000</v>
      </c>
      <c r="S149" s="222">
        <f t="shared" si="94"/>
        <v>14763863.370103819</v>
      </c>
      <c r="T149" s="222">
        <f t="shared" si="94"/>
        <v>14999863.370103819</v>
      </c>
      <c r="U149" s="222">
        <f t="shared" si="74"/>
        <v>29510586.044983212</v>
      </c>
      <c r="V149" s="776">
        <f t="shared" si="66"/>
        <v>44816122.087257855</v>
      </c>
      <c r="W149" s="219">
        <f>+W146+W100+W67+W82+W53+W74+W23</f>
        <v>41043157.47473976</v>
      </c>
      <c r="X149" s="776"/>
      <c r="Y149" s="777"/>
      <c r="Z149" s="224">
        <f>+Z146+Z100+Z67+Z82+Z53+Z74+Z23</f>
        <v>29611986.044983216</v>
      </c>
      <c r="AA149" s="776">
        <v>40043634.01191695</v>
      </c>
    </row>
    <row r="150" spans="1:27">
      <c r="G150"/>
      <c r="H150" s="778"/>
      <c r="Q150" s="466"/>
      <c r="R150" s="466"/>
      <c r="S150" s="466"/>
      <c r="T150" s="466"/>
      <c r="U150" s="466"/>
      <c r="V150" s="466"/>
      <c r="X150" s="466"/>
      <c r="Y150" s="467"/>
      <c r="AA150" s="466"/>
    </row>
    <row r="151" spans="1:27">
      <c r="B151"/>
      <c r="C151"/>
      <c r="E151"/>
      <c r="F151"/>
      <c r="G151"/>
      <c r="H151" s="778"/>
      <c r="I151"/>
      <c r="J151"/>
      <c r="K151"/>
      <c r="L151"/>
      <c r="M151"/>
      <c r="N151"/>
      <c r="O151" s="778"/>
      <c r="P151"/>
      <c r="W151"/>
      <c r="Z151" s="779"/>
    </row>
    <row r="152" spans="1:27" s="8" customFormat="1">
      <c r="A152" s="201"/>
      <c r="B152"/>
      <c r="C152"/>
      <c r="D152"/>
      <c r="E152"/>
      <c r="F152"/>
      <c r="G152" s="89">
        <f>SUBTOTAL(9,G58:G59)</f>
        <v>577829</v>
      </c>
      <c r="H152" s="256"/>
      <c r="I152"/>
      <c r="J152"/>
      <c r="K152"/>
      <c r="L152"/>
      <c r="M152"/>
      <c r="N152"/>
      <c r="O152" s="778"/>
      <c r="P152"/>
      <c r="W152"/>
      <c r="Y152" s="184"/>
      <c r="Z152" s="779"/>
    </row>
    <row r="153" spans="1:27" s="8" customFormat="1">
      <c r="A153" s="201"/>
      <c r="B153"/>
      <c r="C153"/>
      <c r="D153"/>
      <c r="E153"/>
      <c r="F153"/>
      <c r="G153" s="89">
        <v>485000</v>
      </c>
      <c r="H153" s="256"/>
      <c r="I153"/>
      <c r="J153"/>
      <c r="K153"/>
      <c r="L153"/>
      <c r="M153"/>
      <c r="N153"/>
      <c r="O153" s="778"/>
      <c r="P153"/>
      <c r="W153"/>
      <c r="Y153" s="184"/>
      <c r="Z153" s="779"/>
    </row>
    <row r="155" spans="1:27">
      <c r="G155" s="259"/>
      <c r="H155" s="260"/>
    </row>
    <row r="156" spans="1:27">
      <c r="G156" s="259"/>
      <c r="H156" s="260"/>
    </row>
    <row r="157" spans="1:27" s="8" customFormat="1">
      <c r="A157" s="201"/>
      <c r="B157"/>
      <c r="C157" s="259"/>
      <c r="D157" s="259"/>
      <c r="E157" s="259"/>
      <c r="F157" s="259"/>
      <c r="G157" s="259"/>
      <c r="H157" s="260"/>
      <c r="I157" s="259"/>
      <c r="J157" s="259"/>
      <c r="K157" s="259"/>
      <c r="L157" s="259"/>
      <c r="M157" s="259"/>
      <c r="N157" s="259"/>
      <c r="O157" s="260"/>
      <c r="P157" s="259"/>
      <c r="W157" s="259"/>
      <c r="Y157" s="184"/>
      <c r="Z157" s="261"/>
    </row>
    <row r="158" spans="1:27" s="8" customFormat="1">
      <c r="A158" s="201"/>
      <c r="B158"/>
      <c r="C158" s="259"/>
      <c r="D158" s="259"/>
      <c r="E158" s="259"/>
      <c r="F158" s="259"/>
      <c r="G158" s="259"/>
      <c r="H158" s="260"/>
      <c r="I158" s="259"/>
      <c r="J158" s="259"/>
      <c r="K158" s="259"/>
      <c r="L158" s="259"/>
      <c r="M158" s="259"/>
      <c r="N158" s="259"/>
      <c r="O158" s="260"/>
      <c r="P158" s="259"/>
      <c r="W158" s="259"/>
      <c r="Y158" s="184"/>
      <c r="Z158" s="261"/>
    </row>
    <row r="159" spans="1:27" s="8" customFormat="1">
      <c r="A159" s="201"/>
      <c r="B159"/>
      <c r="C159" s="259"/>
      <c r="D159" s="259"/>
      <c r="E159" s="259"/>
      <c r="F159" s="259"/>
      <c r="G159" s="485"/>
      <c r="H159" s="486"/>
      <c r="I159" s="259"/>
      <c r="J159" s="259"/>
      <c r="K159" s="259"/>
      <c r="L159" s="259"/>
      <c r="M159" s="259"/>
      <c r="N159" s="259"/>
      <c r="O159" s="260"/>
      <c r="P159" s="259"/>
      <c r="W159" s="259"/>
      <c r="Y159" s="184"/>
      <c r="Z159" s="261"/>
    </row>
    <row r="160" spans="1:27" s="8" customFormat="1">
      <c r="A160" s="201"/>
      <c r="B160"/>
      <c r="C160" s="259"/>
      <c r="D160" s="259"/>
      <c r="E160" s="259"/>
      <c r="F160" s="259"/>
      <c r="G160" s="89"/>
      <c r="H160" s="256"/>
      <c r="I160" s="259"/>
      <c r="J160" s="259"/>
      <c r="K160" s="259"/>
      <c r="L160" s="259"/>
      <c r="M160" s="259"/>
      <c r="N160" s="259"/>
      <c r="O160" s="260"/>
      <c r="P160" s="259"/>
      <c r="W160" s="259"/>
      <c r="Y160" s="184"/>
      <c r="Z160" s="261"/>
    </row>
    <row r="161" spans="1:26" s="8" customFormat="1">
      <c r="A161" s="201"/>
      <c r="B161"/>
      <c r="C161" s="485"/>
      <c r="D161" s="485"/>
      <c r="E161" s="485"/>
      <c r="F161" s="485"/>
      <c r="G161" s="259"/>
      <c r="H161" s="260"/>
      <c r="I161" s="485"/>
      <c r="J161" s="485"/>
      <c r="K161" s="485"/>
      <c r="L161" s="485"/>
      <c r="M161" s="485"/>
      <c r="N161" s="485"/>
      <c r="O161" s="486"/>
      <c r="P161" s="485"/>
      <c r="W161" s="485"/>
      <c r="Y161" s="184"/>
      <c r="Z161" s="488"/>
    </row>
    <row r="162" spans="1:26">
      <c r="G162" s="259"/>
      <c r="H162" s="260"/>
    </row>
    <row r="163" spans="1:26">
      <c r="C163" s="259"/>
      <c r="D163" s="259"/>
      <c r="E163" s="259"/>
      <c r="F163" s="259"/>
      <c r="I163" s="259"/>
      <c r="J163" s="259"/>
      <c r="K163" s="259"/>
      <c r="L163" s="259"/>
      <c r="M163" s="259"/>
      <c r="N163" s="259"/>
      <c r="O163" s="260"/>
      <c r="P163" s="259"/>
      <c r="W163" s="259"/>
      <c r="Z163" s="261"/>
    </row>
    <row r="164" spans="1:26">
      <c r="C164" s="259"/>
      <c r="D164" s="259"/>
      <c r="E164" s="259"/>
      <c r="F164" s="259"/>
      <c r="I164" s="259"/>
      <c r="J164" s="259"/>
      <c r="K164" s="259"/>
      <c r="L164" s="259"/>
      <c r="M164" s="259"/>
      <c r="N164" s="259"/>
      <c r="O164" s="260"/>
      <c r="P164" s="259"/>
      <c r="W164" s="259"/>
      <c r="Z164" s="261"/>
    </row>
    <row r="173" spans="1:26">
      <c r="G173" s="89">
        <f>F173</f>
        <v>0</v>
      </c>
    </row>
    <row r="178" spans="7:7">
      <c r="G178" s="89">
        <f>F178</f>
        <v>0</v>
      </c>
    </row>
    <row r="179" spans="7:7">
      <c r="G179" s="89">
        <f>F179</f>
        <v>0</v>
      </c>
    </row>
    <row r="182" spans="7:7">
      <c r="G182" s="89">
        <f>F182</f>
        <v>0</v>
      </c>
    </row>
    <row r="183" spans="7:7">
      <c r="G183" s="89">
        <f>F183</f>
        <v>0</v>
      </c>
    </row>
    <row r="186" spans="7:7">
      <c r="G186" s="89">
        <f>F186</f>
        <v>0</v>
      </c>
    </row>
    <row r="187" spans="7:7">
      <c r="G187" s="89">
        <f>F187</f>
        <v>0</v>
      </c>
    </row>
    <row r="188" spans="7:7">
      <c r="G188" s="89">
        <f>F188</f>
        <v>0</v>
      </c>
    </row>
    <row r="189" spans="7:7">
      <c r="G189" s="89">
        <f>F189</f>
        <v>0</v>
      </c>
    </row>
  </sheetData>
  <autoFilter ref="A5:O149" xr:uid="{00000000-0009-0000-0000-00000C000000}"/>
  <printOptions horizontalCentered="1" headings="1" gridLines="1"/>
  <pageMargins left="0" right="0" top="0.75" bottom="0.25" header="0.25" footer="0.25"/>
  <pageSetup scale="39" fitToHeight="5" orientation="landscape" r:id="rId1"/>
  <headerFooter>
    <oddFooter>Page &amp;P of &amp;N</oddFooter>
  </headerFooter>
  <rowBreaks count="2" manualBreakCount="2">
    <brk id="53" max="28" man="1"/>
    <brk id="100" max="2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43A9A777D79F48A3C3546B5A996D45" ma:contentTypeVersion="13" ma:contentTypeDescription="Create a new document." ma:contentTypeScope="" ma:versionID="1faec8d543df54d1902dad614b66190a">
  <xsd:schema xmlns:xsd="http://www.w3.org/2001/XMLSchema" xmlns:xs="http://www.w3.org/2001/XMLSchema" xmlns:p="http://schemas.microsoft.com/office/2006/metadata/properties" xmlns:ns3="dd21200a-103b-46f6-a29c-7f677b99dccc" xmlns:ns4="9bec7981-e1df-42e0-af2d-28bb3c8432e8" targetNamespace="http://schemas.microsoft.com/office/2006/metadata/properties" ma:root="true" ma:fieldsID="4a862b2cbeff8011c7407b9f5099b567" ns3:_="" ns4:_="">
    <xsd:import namespace="dd21200a-103b-46f6-a29c-7f677b99dccc"/>
    <xsd:import namespace="9bec7981-e1df-42e0-af2d-28bb3c8432e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21200a-103b-46f6-a29c-7f677b99dcc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ec7981-e1df-42e0-af2d-28bb3c8432e8"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5EBE24E-A773-461D-8C7B-BAB9EC5829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21200a-103b-46f6-a29c-7f677b99dccc"/>
    <ds:schemaRef ds:uri="9bec7981-e1df-42e0-af2d-28bb3c8432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CC58D6-2E3F-4CB6-B953-BC253F005A36}">
  <ds:schemaRefs>
    <ds:schemaRef ds:uri="http://schemas.microsoft.com/sharepoint/v3/contenttype/forms"/>
  </ds:schemaRefs>
</ds:datastoreItem>
</file>

<file path=customXml/itemProps3.xml><?xml version="1.0" encoding="utf-8"?>
<ds:datastoreItem xmlns:ds="http://schemas.openxmlformats.org/officeDocument/2006/customXml" ds:itemID="{8C283C65-F7D9-416E-8972-C6E676C53F55}">
  <ds:schemaRefs>
    <ds:schemaRef ds:uri="dd21200a-103b-46f6-a29c-7f677b99dccc"/>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http://purl.org/dc/elements/1.1/"/>
    <ds:schemaRef ds:uri="http://www.w3.org/XML/1998/namespace"/>
    <ds:schemaRef ds:uri="http://purl.org/dc/terms/"/>
    <ds:schemaRef ds:uri="9bec7981-e1df-42e0-af2d-28bb3c8432e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27</vt:i4>
      </vt:variant>
    </vt:vector>
  </HeadingPairs>
  <TitlesOfParts>
    <vt:vector size="37" baseType="lpstr">
      <vt:lpstr>SUMMARY</vt:lpstr>
      <vt:lpstr>EVANGELISM</vt:lpstr>
      <vt:lpstr>REC &amp; JUST</vt:lpstr>
      <vt:lpstr>CREATION CARE</vt:lpstr>
      <vt:lpstr>PB Ministry</vt:lpstr>
      <vt:lpstr>MISSION WITHIN</vt:lpstr>
      <vt:lpstr>MISSION BEYOND</vt:lpstr>
      <vt:lpstr>Governance</vt:lpstr>
      <vt:lpstr>Fin Legal Oper</vt:lpstr>
      <vt:lpstr>Salary Summary 21 for 2022-2024</vt:lpstr>
      <vt:lpstr>CREATIONCARE</vt:lpstr>
      <vt:lpstr>EvangelismDetail</vt:lpstr>
      <vt:lpstr>EvangelismTotal</vt:lpstr>
      <vt:lpstr>EvngelismTotal</vt:lpstr>
      <vt:lpstr>MISSIONBEYOND</vt:lpstr>
      <vt:lpstr>MISSIONWITHIN</vt:lpstr>
      <vt:lpstr>PBOFFICE</vt:lpstr>
      <vt:lpstr>'CREATION CARE'!Print_Area</vt:lpstr>
      <vt:lpstr>EVANGELISM!Print_Area</vt:lpstr>
      <vt:lpstr>'Fin Legal Oper'!Print_Area</vt:lpstr>
      <vt:lpstr>Governance!Print_Area</vt:lpstr>
      <vt:lpstr>'MISSION BEYOND'!Print_Area</vt:lpstr>
      <vt:lpstr>'MISSION WITHIN'!Print_Area</vt:lpstr>
      <vt:lpstr>'PB Ministry'!Print_Area</vt:lpstr>
      <vt:lpstr>'REC &amp; JUST'!Print_Area</vt:lpstr>
      <vt:lpstr>'Salary Summary 21 for 2022-2024'!Print_Area</vt:lpstr>
      <vt:lpstr>SUMMARY!Print_Area</vt:lpstr>
      <vt:lpstr>'CREATION CARE'!Print_Titles</vt:lpstr>
      <vt:lpstr>EVANGELISM!Print_Titles</vt:lpstr>
      <vt:lpstr>'Fin Legal Oper'!Print_Titles</vt:lpstr>
      <vt:lpstr>Governance!Print_Titles</vt:lpstr>
      <vt:lpstr>'MISSION BEYOND'!Print_Titles</vt:lpstr>
      <vt:lpstr>'MISSION WITHIN'!Print_Titles</vt:lpstr>
      <vt:lpstr>'PB Ministry'!Print_Titles</vt:lpstr>
      <vt:lpstr>'REC &amp; JUST'!Print_Titles</vt:lpstr>
      <vt:lpstr>SUMMARY!Print_Titles</vt:lpstr>
      <vt:lpstr>Reconciliation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Kurt Barnes</dc:creator>
  <cp:lastModifiedBy>Kurt Barnes</cp:lastModifiedBy>
  <cp:lastPrinted>2022-01-26T21:59:00Z</cp:lastPrinted>
  <dcterms:created xsi:type="dcterms:W3CDTF">2022-01-24T23:17:46Z</dcterms:created>
  <dcterms:modified xsi:type="dcterms:W3CDTF">2022-01-26T22:00:17Z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0x010100C643A9A777D79F48A3C3546B5A996D45</vt:lpwstr>
  </property>
</Properties>
</file>